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or" sheetId="1" state="visible" r:id="rId1"/>
    <sheet name="Schedule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$&quot;#,##0.00"/>
    <numFmt numFmtId="165" formatCode="0.00&quot;%&quot;"/>
    <numFmt numFmtId="166" formatCode="mmm yyyy"/>
    <numFmt numFmtId="167" formatCode="mmm yy"/>
    <numFmt numFmtId="168" formatCode="&quot;$&quot;#,##0"/>
  </numFmts>
  <fonts count="17">
    <font>
      <name val="Calibri"/>
      <family val="2"/>
      <color theme="1"/>
      <sz val="11"/>
      <scheme val="minor"/>
    </font>
    <font>
      <name val="Courier New"/>
      <b val="1"/>
      <color rgb="00C4A2FF"/>
      <sz val="9"/>
    </font>
    <font>
      <name val="Georgia"/>
      <color rgb="00F4F1F8"/>
      <sz val="24"/>
    </font>
    <font>
      <name val="Arial"/>
      <i val="1"/>
      <color rgb="00C4A2FF"/>
      <sz val="10"/>
    </font>
    <font>
      <name val="Courier New"/>
      <b val="1"/>
      <color rgb="006B3FD6"/>
      <sz val="8"/>
    </font>
    <font>
      <name val="Arial"/>
      <color rgb="001A1030"/>
      <sz val="10"/>
    </font>
    <font>
      <name val="Arial"/>
      <b val="1"/>
      <color rgb="006B3FD6"/>
      <sz val="10"/>
    </font>
    <font>
      <name val="Arial"/>
      <b val="1"/>
      <color rgb="00C4A2FF"/>
      <sz val="10"/>
    </font>
    <font>
      <name val="Arial"/>
      <b val="1"/>
      <color rgb="00F4F1F8"/>
      <sz val="10"/>
    </font>
    <font>
      <name val="Arial"/>
      <color rgb="006B6580"/>
      <sz val="10"/>
    </font>
    <font>
      <name val="Arial"/>
      <b val="1"/>
      <color rgb="001A1030"/>
      <sz val="10"/>
    </font>
    <font>
      <name val="Courier New"/>
      <b val="1"/>
      <color rgb="006B6580"/>
      <sz val="8"/>
    </font>
    <font>
      <name val="Arial"/>
      <b val="1"/>
      <color rgb="001A1030"/>
      <sz val="20"/>
    </font>
    <font>
      <name val="Arial"/>
      <color rgb="006B6580"/>
      <sz val="8"/>
    </font>
    <font>
      <name val="Courier New"/>
      <b val="1"/>
      <color rgb="006B3FD6"/>
      <sz val="9"/>
    </font>
    <font>
      <name val="Arial"/>
      <b val="1"/>
      <color rgb="001A1030"/>
      <sz val="13"/>
    </font>
    <font>
      <name val="Arial"/>
      <i val="1"/>
      <color rgb="001A1030"/>
      <sz val="10"/>
    </font>
  </fonts>
  <fills count="8">
    <fill>
      <patternFill/>
    </fill>
    <fill>
      <patternFill patternType="gray125"/>
    </fill>
    <fill>
      <patternFill patternType="solid">
        <fgColor rgb="001A1030"/>
      </patternFill>
    </fill>
    <fill>
      <patternFill patternType="solid">
        <fgColor rgb="00EFE9FF"/>
      </patternFill>
    </fill>
    <fill>
      <patternFill patternType="solid">
        <fgColor rgb="00FFFFFF"/>
      </patternFill>
    </fill>
    <fill>
      <patternFill patternType="solid">
        <fgColor rgb="002A1A40"/>
      </patternFill>
    </fill>
    <fill>
      <patternFill patternType="solid">
        <fgColor rgb="006B3FD6"/>
      </patternFill>
    </fill>
    <fill>
      <patternFill patternType="solid">
        <fgColor rgb="00F8F6FC"/>
      </patternFill>
    </fill>
  </fills>
  <borders count="18">
    <border>
      <left/>
      <right/>
      <top/>
      <bottom/>
      <diagonal/>
    </border>
    <border>
      <bottom style="thin">
        <color rgb="00D9D4E6"/>
      </bottom>
    </border>
    <border>
      <left style="thin">
        <color rgb="00D9D4E6"/>
      </left>
      <right style="thin">
        <color rgb="00D9D4E6"/>
      </right>
      <top style="thin">
        <color rgb="00D9D4E6"/>
      </top>
      <bottom style="thin">
        <color rgb="00D9D4E6"/>
      </bottom>
    </border>
    <border>
      <bottom style="hair">
        <color rgb="00D9D4E6"/>
      </bottom>
    </border>
    <border>
      <top style="thin">
        <color rgb="00D9D4E6"/>
      </top>
    </border>
    <border>
      <left style="thin">
        <color rgb="00D9D4E6"/>
      </left>
      <top style="thin">
        <color rgb="00D9D4E6"/>
      </top>
    </border>
    <border>
      <left style="thin">
        <color rgb="00D9D4E6"/>
      </left>
    </border>
    <border>
      <left style="thin">
        <color rgb="00D9D4E6"/>
      </left>
      <bottom style="thin">
        <color rgb="00D9D4E6"/>
      </bottom>
    </border>
    <border>
      <right style="thin">
        <color rgb="00D9D4E6"/>
      </right>
      <top style="thin">
        <color rgb="00D9D4E6"/>
      </top>
    </border>
    <border>
      <right style="thin">
        <color rgb="00D9D4E6"/>
      </right>
    </border>
    <border>
      <right style="thin">
        <color rgb="00D9D4E6"/>
      </right>
      <bottom style="thin">
        <color rgb="00D9D4E6"/>
      </bottom>
    </border>
    <border>
      <left style="thin">
        <color rgb="00D9D4E6"/>
      </left>
      <right style="thin">
        <color rgb="00D9D4E6"/>
      </right>
      <top style="thin">
        <color rgb="00D9D4E6"/>
      </top>
    </border>
    <border>
      <left/>
      <right/>
      <top style="thin">
        <color rgb="00D9D4E6"/>
      </top>
      <bottom/>
      <diagonal/>
    </border>
    <border>
      <left/>
      <right style="thin">
        <color rgb="00D9D4E6"/>
      </right>
      <top style="thin">
        <color rgb="00D9D4E6"/>
      </top>
      <bottom/>
      <diagonal/>
    </border>
    <border>
      <left style="thin">
        <color rgb="00D9D4E6"/>
      </left>
      <right style="thin">
        <color rgb="00D9D4E6"/>
      </right>
    </border>
    <border>
      <left/>
      <right style="thin">
        <color rgb="00D9D4E6"/>
      </right>
      <top/>
      <bottom/>
      <diagonal/>
    </border>
    <border>
      <left style="thin">
        <color rgb="00D9D4E6"/>
      </left>
      <right style="thin">
        <color rgb="00D9D4E6"/>
      </right>
      <bottom style="thin">
        <color rgb="00D9D4E6"/>
      </bottom>
    </border>
    <border>
      <left/>
      <right style="thin">
        <color rgb="00D9D4E6"/>
      </right>
      <top/>
      <bottom style="thin">
        <color rgb="00D9D4E6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1" pivotButton="0" quotePrefix="0" xfId="0"/>
    <xf numFmtId="164" fontId="5" fillId="3" borderId="2" applyAlignment="1" pivotButton="0" quotePrefix="0" xfId="0">
      <alignment horizontal="right" vertical="center"/>
    </xf>
    <xf numFmtId="0" fontId="11" fillId="4" borderId="11" applyAlignment="1" pivotButton="0" quotePrefix="0" xfId="0">
      <alignment vertical="center" indent="1"/>
    </xf>
    <xf numFmtId="0" fontId="0" fillId="0" borderId="13" pivotButton="0" quotePrefix="0" xfId="0"/>
    <xf numFmtId="165" fontId="5" fillId="3" borderId="2" applyAlignment="1" pivotButton="0" quotePrefix="0" xfId="0">
      <alignment horizontal="right" vertical="center"/>
    </xf>
    <xf numFmtId="166" fontId="12" fillId="4" borderId="14" applyAlignment="1" pivotButton="0" quotePrefix="0" xfId="0">
      <alignment vertical="center" indent="1"/>
    </xf>
    <xf numFmtId="0" fontId="0" fillId="0" borderId="15" pivotButton="0" quotePrefix="0" xfId="0"/>
    <xf numFmtId="1" fontId="12" fillId="4" borderId="14" applyAlignment="1" pivotButton="0" quotePrefix="0" xfId="0">
      <alignment vertical="center" indent="1"/>
    </xf>
    <xf numFmtId="1" fontId="5" fillId="3" borderId="2" applyAlignment="1" pivotButton="0" quotePrefix="0" xfId="0">
      <alignment horizontal="right" vertical="center"/>
    </xf>
    <xf numFmtId="0" fontId="13" fillId="4" borderId="16" applyAlignment="1" pivotButton="0" quotePrefix="0" xfId="0">
      <alignment vertical="center" indent="1"/>
    </xf>
    <xf numFmtId="0" fontId="0" fillId="0" borderId="17" pivotButton="0" quotePrefix="0" xfId="0"/>
    <xf numFmtId="166" fontId="5" fillId="3" borderId="2" applyAlignment="1" pivotButton="0" quotePrefix="0" xfId="0">
      <alignment horizontal="center"/>
    </xf>
    <xf numFmtId="168" fontId="12" fillId="4" borderId="14" applyAlignment="1" pivotButton="0" quotePrefix="0" xfId="0">
      <alignment vertical="center" indent="1"/>
    </xf>
    <xf numFmtId="164" fontId="6" fillId="4" borderId="2" applyAlignment="1" pivotButton="0" quotePrefix="0" xfId="0">
      <alignment horizontal="right" vertical="center"/>
    </xf>
    <xf numFmtId="0" fontId="8" fillId="5" borderId="0" applyAlignment="1" pivotButton="0" quotePrefix="0" xfId="0">
      <alignment horizontal="center"/>
    </xf>
    <xf numFmtId="0" fontId="0" fillId="5" borderId="0" pivotButton="0" quotePrefix="0" xfId="0"/>
    <xf numFmtId="0" fontId="8" fillId="6" borderId="0" applyAlignment="1" pivotButton="0" quotePrefix="0" xfId="0">
      <alignment horizontal="center"/>
    </xf>
    <xf numFmtId="0" fontId="0" fillId="6" borderId="0" pivotButton="0" quotePrefix="0" xfId="0"/>
    <xf numFmtId="0" fontId="7" fillId="2" borderId="2" applyAlignment="1" pivotButton="0" quotePrefix="0" xfId="0">
      <alignment horizontal="center" vertical="center"/>
    </xf>
    <xf numFmtId="0" fontId="9" fillId="4" borderId="3" applyAlignment="1" pivotButton="0" quotePrefix="0" xfId="0">
      <alignment horizontal="center" vertical="center"/>
    </xf>
    <xf numFmtId="167" fontId="9" fillId="4" borderId="3" applyAlignment="1" pivotButton="0" quotePrefix="0" xfId="0">
      <alignment horizontal="center" vertical="center"/>
    </xf>
    <xf numFmtId="164" fontId="5" fillId="4" borderId="3" pivotButton="0" quotePrefix="0" xfId="0"/>
    <xf numFmtId="164" fontId="9" fillId="4" borderId="3" pivotButton="0" quotePrefix="0" xfId="0"/>
    <xf numFmtId="164" fontId="10" fillId="4" borderId="3" pivotButton="0" quotePrefix="0" xfId="0"/>
    <xf numFmtId="0" fontId="9" fillId="7" borderId="3" applyAlignment="1" pivotButton="0" quotePrefix="0" xfId="0">
      <alignment horizontal="center" vertical="center"/>
    </xf>
    <xf numFmtId="167" fontId="9" fillId="7" borderId="3" applyAlignment="1" pivotButton="0" quotePrefix="0" xfId="0">
      <alignment horizontal="center" vertical="center"/>
    </xf>
    <xf numFmtId="164" fontId="5" fillId="7" borderId="3" pivotButton="0" quotePrefix="0" xfId="0"/>
    <xf numFmtId="164" fontId="9" fillId="7" borderId="3" pivotButton="0" quotePrefix="0" xfId="0"/>
    <xf numFmtId="164" fontId="10" fillId="7" borderId="3" pivotButton="0" quotePrefix="0" xfId="0"/>
    <xf numFmtId="0" fontId="14" fillId="0" borderId="0" pivotButton="0" quotePrefix="0" xfId="0"/>
    <xf numFmtId="0" fontId="15" fillId="0" borderId="0" pivotButton="0" quotePrefix="0" xfId="0"/>
    <xf numFmtId="0" fontId="9" fillId="0" borderId="0" applyAlignment="1" pivotButton="0" quotePrefix="0" xfId="0">
      <alignment vertical="top" wrapText="1"/>
    </xf>
    <xf numFmtId="0" fontId="16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1">
    <dxf>
      <font>
        <color rgb="00D5D1D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v>Regular payments</v>
          </tx>
          <spPr>
            <a:ln w="18000">
              <a:solidFill>
                <a:srgbClr val="9A93AD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'Schedule'!$A$8:$A$487</f>
            </numRef>
          </cat>
          <val>
            <numRef>
              <f>'Schedule'!$F$8:$F$487</f>
            </numRef>
          </val>
          <smooth val="0"/>
        </ser>
        <ser>
          <idx val="1"/>
          <order val="1"/>
          <tx>
            <v>With extra payments</v>
          </tx>
          <spPr>
            <a:ln w="28000">
              <a:solidFill>
                <a:srgbClr val="6B3FD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'Schedule'!$A$8:$A$487</f>
            </numRef>
          </cat>
          <val>
            <numRef>
              <f>'Schedule'!$J$8:$J$487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  <tickLblSkip val="12"/>
        <tickMarkSkip val="12"/>
      </catAx>
      <valAx>
        <axId val="100"/>
        <scaling>
          <orientation val="minMax"/>
        </scaling>
        <axPos val="l"/>
        <majorGridlines>
          <spPr>
            <a:ln>
              <a:solidFill>
                <a:srgbClr val="EEEAF5"/>
              </a:solidFill>
              <a:prstDash val="solid"/>
            </a:ln>
          </spPr>
        </majorGridlines>
        <numFmt formatCode="&quot;$&quot;#,##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17</row>
      <rowOff>0</rowOff>
    </from>
    <ext cx="792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www.debtless.app" TargetMode="External" Id="rId1" /></Relationships>
</file>

<file path=xl/worksheets/sheet1.xml><?xml version="1.0" encoding="utf-8"?>
<worksheet xmlns="http://schemas.openxmlformats.org/spreadsheetml/2006/main">
  <sheetPr>
    <tabColor rgb="006B3FD6"/>
    <outlinePr summaryBelow="1" summaryRight="1"/>
    <pageSetUpPr fitToPage="1"/>
  </sheetPr>
  <dimension ref="A1:J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6" customWidth="1" min="3" max="3"/>
    <col width="3" customWidth="1" min="4" max="4"/>
    <col width="14" customWidth="1" min="5" max="5"/>
    <col width="14" customWidth="1" min="6" max="6"/>
    <col width="3" customWidth="1" min="7" max="7"/>
    <col width="14" customWidth="1" min="8" max="8"/>
    <col width="14" customWidth="1" min="9" max="9"/>
    <col width="2" customWidth="1" min="10" max="10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16" customHeight="1">
      <c r="A2" s="1" t="n"/>
      <c r="B2" s="2" t="inlineStr">
        <is>
          <t>[ DEBTLESS ]  LOAN PAYOFF CALCULATOR</t>
        </is>
      </c>
      <c r="C2" s="1" t="n"/>
      <c r="D2" s="1" t="n"/>
      <c r="E2" s="1" t="n"/>
      <c r="F2" s="1" t="n"/>
      <c r="G2" s="1" t="n"/>
      <c r="H2" s="1" t="n"/>
      <c r="I2" s="1" t="n"/>
      <c r="J2" s="1" t="n"/>
    </row>
    <row r="3" ht="34" customHeight="1">
      <c r="A3" s="1" t="n"/>
      <c r="B3" s="3" t="inlineStr">
        <is>
          <t>Pay it off early.</t>
        </is>
      </c>
      <c r="C3" s="1" t="n"/>
      <c r="D3" s="1" t="n"/>
      <c r="E3" s="1" t="n"/>
      <c r="F3" s="1" t="n"/>
      <c r="G3" s="1" t="n"/>
      <c r="H3" s="1" t="n"/>
      <c r="I3" s="1" t="n"/>
      <c r="J3" s="1" t="n"/>
    </row>
    <row r="4" ht="20" customHeight="1">
      <c r="A4" s="1" t="n"/>
      <c r="B4" s="4" t="inlineStr">
        <is>
          <t>Any fixed-rate loan: mortgage, car, personal, student. Edit the lavender cells.</t>
        </is>
      </c>
      <c r="C4" s="1" t="n"/>
      <c r="D4" s="1" t="n"/>
      <c r="E4" s="1" t="n"/>
      <c r="F4" s="1" t="n"/>
      <c r="G4" s="1" t="n"/>
      <c r="H4" s="1" t="n"/>
      <c r="I4" s="1" t="n"/>
      <c r="J4" s="1" t="n"/>
    </row>
    <row r="6">
      <c r="B6" s="5" t="inlineStr">
        <is>
          <t>► YOUR LOAN</t>
        </is>
      </c>
      <c r="E6" s="5" t="inlineStr">
        <is>
          <t>► WITH YOUR EXTRA PAYMENTS</t>
        </is>
      </c>
    </row>
    <row r="7" ht="16" customHeight="1">
      <c r="B7" s="6" t="inlineStr">
        <is>
          <t>Balance owed</t>
        </is>
      </c>
      <c r="C7" s="7" t="n">
        <v>25000</v>
      </c>
      <c r="E7" s="8" t="inlineStr">
        <is>
          <t>► PAID OFF</t>
        </is>
      </c>
      <c r="F7" s="9" t="n"/>
      <c r="H7" s="8" t="inlineStr">
        <is>
          <t>► MONTHS SOONER</t>
        </is>
      </c>
      <c r="I7" s="9" t="n"/>
    </row>
    <row r="8" ht="30" customHeight="1">
      <c r="B8" s="6" t="inlineStr">
        <is>
          <t>Interest rate (APR %)</t>
        </is>
      </c>
      <c r="C8" s="10" t="n">
        <v>7.5</v>
      </c>
      <c r="E8" s="11">
        <f>EDATE(C12,IF(C7&gt;C11,COUNTIF(Schedule!J8:J487,"&gt;0.005")+1,0))</f>
        <v/>
      </c>
      <c r="F8" s="12" t="n"/>
      <c r="H8" s="13">
        <f>IF(C7&gt;0,COUNTIF(Schedule!F8:F487,"&gt;0.005")+1,0)-IF(C7&gt;C11,COUNTIF(Schedule!J8:J487,"&gt;0.005")+1,0)</f>
        <v/>
      </c>
      <c r="I8" s="12" t="n"/>
    </row>
    <row r="9" ht="16" customHeight="1">
      <c r="B9" s="6" t="inlineStr">
        <is>
          <t>Months left on the loan</t>
        </is>
      </c>
      <c r="C9" s="14" t="n">
        <v>60</v>
      </c>
      <c r="E9" s="15">
        <f>"on the regular schedule: "&amp;TEXT(EDATE(C12,IF(C7&gt;0,COUNTIF(Schedule!F8:F487,"&gt;0.005")+1,0)),"mmm yyyy")</f>
        <v/>
      </c>
      <c r="F9" s="16" t="n"/>
      <c r="H9" s="15">
        <f>IF(IF(C7&gt;C11,COUNTIF(Schedule!J8:J487,"&gt;0.005")+1,0)&gt;=480,"over 40 years: check the payment",IF(C7&gt;C11,COUNTIF(Schedule!J8:J487,"&gt;0.005")+1,0)&amp;" months instead of "&amp;IF(C7&gt;0,COUNTIF(Schedule!F8:F487,"&gt;0.005")+1,0))</f>
        <v/>
      </c>
      <c r="I9" s="16" t="n"/>
    </row>
    <row r="10" ht="20" customHeight="1">
      <c r="B10" s="6" t="inlineStr">
        <is>
          <t>Extra paid every month</t>
        </is>
      </c>
      <c r="C10" s="7" t="n">
        <v>100</v>
      </c>
    </row>
    <row r="11" ht="16" customHeight="1">
      <c r="B11" s="6" t="inlineStr">
        <is>
          <t>One-time lump sum, paid now</t>
        </is>
      </c>
      <c r="C11" s="7" t="n">
        <v>0</v>
      </c>
      <c r="E11" s="8" t="inlineStr">
        <is>
          <t>► INTEREST SAVED</t>
        </is>
      </c>
      <c r="F11" s="9" t="n"/>
      <c r="H11" s="8" t="inlineStr">
        <is>
          <t>► TOTAL YOU'LL PAY</t>
        </is>
      </c>
      <c r="I11" s="9" t="n"/>
    </row>
    <row r="12" ht="30" customHeight="1">
      <c r="B12" s="6" t="inlineStr">
        <is>
          <t>Plan start month</t>
        </is>
      </c>
      <c r="C12" s="17">
        <f>DATE(YEAR(TODAY()),MONTH(TODAY()),1)</f>
        <v/>
      </c>
      <c r="E12" s="18">
        <f>MAX(0,SUM(Schedule!D8:D487)-SUM(Schedule!H8:H487))</f>
        <v/>
      </c>
      <c r="F12" s="12" t="n"/>
      <c r="H12" s="18">
        <f>SUM(Schedule!I8:I487)+C11</f>
        <v/>
      </c>
      <c r="I12" s="12" t="n"/>
    </row>
    <row r="13" ht="16" customHeight="1">
      <c r="E13" s="15">
        <f>TEXT(SUM(Schedule!H8:H487),"$#,##0")&amp;" instead of "&amp;TEXT(SUM(Schedule!D8:D487),"$#,##0")</f>
        <v/>
      </c>
      <c r="F13" s="16" t="n"/>
      <c r="H13" s="15">
        <f>TEXT(C15,"$#,##0.00")&amp;" a month"</f>
        <v/>
      </c>
      <c r="I13" s="16" t="n"/>
    </row>
    <row r="14">
      <c r="B14" s="6" t="inlineStr">
        <is>
          <t>Regular monthly payment (from PMT; overwrite if yours differs)</t>
        </is>
      </c>
      <c r="C14" s="19">
        <f>IF(C8=0,C7/C9,-PMT(C8/100/12,C9,C7))</f>
        <v/>
      </c>
    </row>
    <row r="15">
      <c r="B15" s="6" t="inlineStr">
        <is>
          <t>Payment with extra</t>
        </is>
      </c>
      <c r="C15" s="19">
        <f>C14+C10</f>
        <v/>
      </c>
    </row>
    <row r="17">
      <c r="B17" s="5" t="inlineStr">
        <is>
          <t>► BALANCE OVER TIME</t>
        </is>
      </c>
    </row>
  </sheetData>
  <mergeCells count="12">
    <mergeCell ref="E12:F12"/>
    <mergeCell ref="H11:I11"/>
    <mergeCell ref="H12:I12"/>
    <mergeCell ref="H13:I13"/>
    <mergeCell ref="E7:F7"/>
    <mergeCell ref="H7:I7"/>
    <mergeCell ref="H9:I9"/>
    <mergeCell ref="E11:F11"/>
    <mergeCell ref="E13:F13"/>
    <mergeCell ref="H8:I8"/>
    <mergeCell ref="E9:F9"/>
    <mergeCell ref="E8:F8"/>
  </mergeCells>
  <pageMargins left="0.75" right="0.75" top="1" bottom="1" header="0.5" footer="0.5"/>
  <pageSetup orientation="landscape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4A2FF"/>
    <outlinePr summaryBelow="1" summaryRight="1"/>
    <pageSetUpPr/>
  </sheetPr>
  <dimension ref="A1:K487"/>
  <sheetViews>
    <sheetView showGridLines="0" workbookViewId="0">
      <pane xSplit="2" ySplit="7" topLeftCell="C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 ht="16" customHeight="1">
      <c r="A2" s="1" t="n"/>
      <c r="B2" s="2" t="inlineStr">
        <is>
          <t>[ DEBTLESS ]  MONTH BY MONTH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</row>
    <row r="3" ht="34" customHeight="1">
      <c r="A3" s="1" t="n"/>
      <c r="B3" s="3" t="inlineStr">
        <is>
          <t>Two roads.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</row>
    <row r="4" ht="20" customHeight="1">
      <c r="A4" s="1" t="n"/>
      <c r="B4" s="4" t="inlineStr">
        <is>
          <t>Regular payments on the left, your extra payments and lump sum on the right.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</row>
    <row r="6">
      <c r="C6" s="20" t="inlineStr">
        <is>
          <t>Regular payments</t>
        </is>
      </c>
      <c r="D6" s="21" t="n"/>
      <c r="E6" s="21" t="n"/>
      <c r="F6" s="21" t="n"/>
      <c r="G6" s="22" t="inlineStr">
        <is>
          <t>With extra + lump sum</t>
        </is>
      </c>
      <c r="H6" s="23" t="n"/>
      <c r="I6" s="23" t="n"/>
      <c r="J6" s="23" t="n"/>
    </row>
    <row r="7">
      <c r="A7" s="24" t="inlineStr">
        <is>
          <t>Month</t>
        </is>
      </c>
      <c r="B7" s="24" t="inlineStr">
        <is>
          <t>Date</t>
        </is>
      </c>
      <c r="C7" s="24" t="inlineStr">
        <is>
          <t>Start</t>
        </is>
      </c>
      <c r="D7" s="24" t="inlineStr">
        <is>
          <t>Interest</t>
        </is>
      </c>
      <c r="E7" s="24" t="inlineStr">
        <is>
          <t>Payment</t>
        </is>
      </c>
      <c r="F7" s="24" t="inlineStr">
        <is>
          <t>End</t>
        </is>
      </c>
      <c r="G7" s="24" t="inlineStr">
        <is>
          <t>Start</t>
        </is>
      </c>
      <c r="H7" s="24" t="inlineStr">
        <is>
          <t>Interest</t>
        </is>
      </c>
      <c r="I7" s="24" t="inlineStr">
        <is>
          <t>Payment</t>
        </is>
      </c>
      <c r="J7" s="24" t="inlineStr">
        <is>
          <t>End</t>
        </is>
      </c>
    </row>
    <row r="8">
      <c r="A8" s="25" t="n">
        <v>1</v>
      </c>
      <c r="B8" s="26">
        <f>EDATE(Calculator!$C$12,0)</f>
        <v/>
      </c>
      <c r="C8" s="27">
        <f>Calculator!$C$7</f>
        <v/>
      </c>
      <c r="D8" s="28">
        <f>IF(C8&gt;0,C8*Calculator!$C$8/100/12,0)</f>
        <v/>
      </c>
      <c r="E8" s="27">
        <f>IF(C8&lt;=0,0,MIN(C8+D8,Calculator!$C$14))</f>
        <v/>
      </c>
      <c r="F8" s="29">
        <f>MAX(0,C8+D8-E8)</f>
        <v/>
      </c>
      <c r="G8" s="27">
        <f>MAX(0,Calculator!$C$7-Calculator!$C$11)</f>
        <v/>
      </c>
      <c r="H8" s="28">
        <f>IF(G8&gt;0,G8*Calculator!$C$8/100/12,0)</f>
        <v/>
      </c>
      <c r="I8" s="27">
        <f>IF(G8&lt;=0,0,MIN(G8+H8,Calculator!$C$15))</f>
        <v/>
      </c>
      <c r="J8" s="29">
        <f>MAX(0,G8+H8-I8)</f>
        <v/>
      </c>
    </row>
    <row r="9">
      <c r="A9" s="30" t="n">
        <v>2</v>
      </c>
      <c r="B9" s="31">
        <f>EDATE(Calculator!$C$12,1)</f>
        <v/>
      </c>
      <c r="C9" s="32">
        <f>F8</f>
        <v/>
      </c>
      <c r="D9" s="33">
        <f>IF(C9&gt;0,C9*Calculator!$C$8/100/12,0)</f>
        <v/>
      </c>
      <c r="E9" s="32">
        <f>IF(C9&lt;=0,0,MIN(C9+D9,Calculator!$C$14))</f>
        <v/>
      </c>
      <c r="F9" s="34">
        <f>MAX(0,C9+D9-E9)</f>
        <v/>
      </c>
      <c r="G9" s="32">
        <f>J8</f>
        <v/>
      </c>
      <c r="H9" s="33">
        <f>IF(G9&gt;0,G9*Calculator!$C$8/100/12,0)</f>
        <v/>
      </c>
      <c r="I9" s="32">
        <f>IF(G9&lt;=0,0,MIN(G9+H9,Calculator!$C$15))</f>
        <v/>
      </c>
      <c r="J9" s="34">
        <f>MAX(0,G9+H9-I9)</f>
        <v/>
      </c>
    </row>
    <row r="10">
      <c r="A10" s="25" t="n">
        <v>3</v>
      </c>
      <c r="B10" s="26">
        <f>EDATE(Calculator!$C$12,2)</f>
        <v/>
      </c>
      <c r="C10" s="27">
        <f>F9</f>
        <v/>
      </c>
      <c r="D10" s="28">
        <f>IF(C10&gt;0,C10*Calculator!$C$8/100/12,0)</f>
        <v/>
      </c>
      <c r="E10" s="27">
        <f>IF(C10&lt;=0,0,MIN(C10+D10,Calculator!$C$14))</f>
        <v/>
      </c>
      <c r="F10" s="29">
        <f>MAX(0,C10+D10-E10)</f>
        <v/>
      </c>
      <c r="G10" s="27">
        <f>J9</f>
        <v/>
      </c>
      <c r="H10" s="28">
        <f>IF(G10&gt;0,G10*Calculator!$C$8/100/12,0)</f>
        <v/>
      </c>
      <c r="I10" s="27">
        <f>IF(G10&lt;=0,0,MIN(G10+H10,Calculator!$C$15))</f>
        <v/>
      </c>
      <c r="J10" s="29">
        <f>MAX(0,G10+H10-I10)</f>
        <v/>
      </c>
    </row>
    <row r="11">
      <c r="A11" s="30" t="n">
        <v>4</v>
      </c>
      <c r="B11" s="31">
        <f>EDATE(Calculator!$C$12,3)</f>
        <v/>
      </c>
      <c r="C11" s="32">
        <f>F10</f>
        <v/>
      </c>
      <c r="D11" s="33">
        <f>IF(C11&gt;0,C11*Calculator!$C$8/100/12,0)</f>
        <v/>
      </c>
      <c r="E11" s="32">
        <f>IF(C11&lt;=0,0,MIN(C11+D11,Calculator!$C$14))</f>
        <v/>
      </c>
      <c r="F11" s="34">
        <f>MAX(0,C11+D11-E11)</f>
        <v/>
      </c>
      <c r="G11" s="32">
        <f>J10</f>
        <v/>
      </c>
      <c r="H11" s="33">
        <f>IF(G11&gt;0,G11*Calculator!$C$8/100/12,0)</f>
        <v/>
      </c>
      <c r="I11" s="32">
        <f>IF(G11&lt;=0,0,MIN(G11+H11,Calculator!$C$15))</f>
        <v/>
      </c>
      <c r="J11" s="34">
        <f>MAX(0,G11+H11-I11)</f>
        <v/>
      </c>
    </row>
    <row r="12">
      <c r="A12" s="25" t="n">
        <v>5</v>
      </c>
      <c r="B12" s="26">
        <f>EDATE(Calculator!$C$12,4)</f>
        <v/>
      </c>
      <c r="C12" s="27">
        <f>F11</f>
        <v/>
      </c>
      <c r="D12" s="28">
        <f>IF(C12&gt;0,C12*Calculator!$C$8/100/12,0)</f>
        <v/>
      </c>
      <c r="E12" s="27">
        <f>IF(C12&lt;=0,0,MIN(C12+D12,Calculator!$C$14))</f>
        <v/>
      </c>
      <c r="F12" s="29">
        <f>MAX(0,C12+D12-E12)</f>
        <v/>
      </c>
      <c r="G12" s="27">
        <f>J11</f>
        <v/>
      </c>
      <c r="H12" s="28">
        <f>IF(G12&gt;0,G12*Calculator!$C$8/100/12,0)</f>
        <v/>
      </c>
      <c r="I12" s="27">
        <f>IF(G12&lt;=0,0,MIN(G12+H12,Calculator!$C$15))</f>
        <v/>
      </c>
      <c r="J12" s="29">
        <f>MAX(0,G12+H12-I12)</f>
        <v/>
      </c>
    </row>
    <row r="13">
      <c r="A13" s="30" t="n">
        <v>6</v>
      </c>
      <c r="B13" s="31">
        <f>EDATE(Calculator!$C$12,5)</f>
        <v/>
      </c>
      <c r="C13" s="32">
        <f>F12</f>
        <v/>
      </c>
      <c r="D13" s="33">
        <f>IF(C13&gt;0,C13*Calculator!$C$8/100/12,0)</f>
        <v/>
      </c>
      <c r="E13" s="32">
        <f>IF(C13&lt;=0,0,MIN(C13+D13,Calculator!$C$14))</f>
        <v/>
      </c>
      <c r="F13" s="34">
        <f>MAX(0,C13+D13-E13)</f>
        <v/>
      </c>
      <c r="G13" s="32">
        <f>J12</f>
        <v/>
      </c>
      <c r="H13" s="33">
        <f>IF(G13&gt;0,G13*Calculator!$C$8/100/12,0)</f>
        <v/>
      </c>
      <c r="I13" s="32">
        <f>IF(G13&lt;=0,0,MIN(G13+H13,Calculator!$C$15))</f>
        <v/>
      </c>
      <c r="J13" s="34">
        <f>MAX(0,G13+H13-I13)</f>
        <v/>
      </c>
    </row>
    <row r="14">
      <c r="A14" s="25" t="n">
        <v>7</v>
      </c>
      <c r="B14" s="26">
        <f>EDATE(Calculator!$C$12,6)</f>
        <v/>
      </c>
      <c r="C14" s="27">
        <f>F13</f>
        <v/>
      </c>
      <c r="D14" s="28">
        <f>IF(C14&gt;0,C14*Calculator!$C$8/100/12,0)</f>
        <v/>
      </c>
      <c r="E14" s="27">
        <f>IF(C14&lt;=0,0,MIN(C14+D14,Calculator!$C$14))</f>
        <v/>
      </c>
      <c r="F14" s="29">
        <f>MAX(0,C14+D14-E14)</f>
        <v/>
      </c>
      <c r="G14" s="27">
        <f>J13</f>
        <v/>
      </c>
      <c r="H14" s="28">
        <f>IF(G14&gt;0,G14*Calculator!$C$8/100/12,0)</f>
        <v/>
      </c>
      <c r="I14" s="27">
        <f>IF(G14&lt;=0,0,MIN(G14+H14,Calculator!$C$15))</f>
        <v/>
      </c>
      <c r="J14" s="29">
        <f>MAX(0,G14+H14-I14)</f>
        <v/>
      </c>
    </row>
    <row r="15">
      <c r="A15" s="30" t="n">
        <v>8</v>
      </c>
      <c r="B15" s="31">
        <f>EDATE(Calculator!$C$12,7)</f>
        <v/>
      </c>
      <c r="C15" s="32">
        <f>F14</f>
        <v/>
      </c>
      <c r="D15" s="33">
        <f>IF(C15&gt;0,C15*Calculator!$C$8/100/12,0)</f>
        <v/>
      </c>
      <c r="E15" s="32">
        <f>IF(C15&lt;=0,0,MIN(C15+D15,Calculator!$C$14))</f>
        <v/>
      </c>
      <c r="F15" s="34">
        <f>MAX(0,C15+D15-E15)</f>
        <v/>
      </c>
      <c r="G15" s="32">
        <f>J14</f>
        <v/>
      </c>
      <c r="H15" s="33">
        <f>IF(G15&gt;0,G15*Calculator!$C$8/100/12,0)</f>
        <v/>
      </c>
      <c r="I15" s="32">
        <f>IF(G15&lt;=0,0,MIN(G15+H15,Calculator!$C$15))</f>
        <v/>
      </c>
      <c r="J15" s="34">
        <f>MAX(0,G15+H15-I15)</f>
        <v/>
      </c>
    </row>
    <row r="16">
      <c r="A16" s="25" t="n">
        <v>9</v>
      </c>
      <c r="B16" s="26">
        <f>EDATE(Calculator!$C$12,8)</f>
        <v/>
      </c>
      <c r="C16" s="27">
        <f>F15</f>
        <v/>
      </c>
      <c r="D16" s="28">
        <f>IF(C16&gt;0,C16*Calculator!$C$8/100/12,0)</f>
        <v/>
      </c>
      <c r="E16" s="27">
        <f>IF(C16&lt;=0,0,MIN(C16+D16,Calculator!$C$14))</f>
        <v/>
      </c>
      <c r="F16" s="29">
        <f>MAX(0,C16+D16-E16)</f>
        <v/>
      </c>
      <c r="G16" s="27">
        <f>J15</f>
        <v/>
      </c>
      <c r="H16" s="28">
        <f>IF(G16&gt;0,G16*Calculator!$C$8/100/12,0)</f>
        <v/>
      </c>
      <c r="I16" s="27">
        <f>IF(G16&lt;=0,0,MIN(G16+H16,Calculator!$C$15))</f>
        <v/>
      </c>
      <c r="J16" s="29">
        <f>MAX(0,G16+H16-I16)</f>
        <v/>
      </c>
    </row>
    <row r="17">
      <c r="A17" s="30" t="n">
        <v>10</v>
      </c>
      <c r="B17" s="31">
        <f>EDATE(Calculator!$C$12,9)</f>
        <v/>
      </c>
      <c r="C17" s="32">
        <f>F16</f>
        <v/>
      </c>
      <c r="D17" s="33">
        <f>IF(C17&gt;0,C17*Calculator!$C$8/100/12,0)</f>
        <v/>
      </c>
      <c r="E17" s="32">
        <f>IF(C17&lt;=0,0,MIN(C17+D17,Calculator!$C$14))</f>
        <v/>
      </c>
      <c r="F17" s="34">
        <f>MAX(0,C17+D17-E17)</f>
        <v/>
      </c>
      <c r="G17" s="32">
        <f>J16</f>
        <v/>
      </c>
      <c r="H17" s="33">
        <f>IF(G17&gt;0,G17*Calculator!$C$8/100/12,0)</f>
        <v/>
      </c>
      <c r="I17" s="32">
        <f>IF(G17&lt;=0,0,MIN(G17+H17,Calculator!$C$15))</f>
        <v/>
      </c>
      <c r="J17" s="34">
        <f>MAX(0,G17+H17-I17)</f>
        <v/>
      </c>
    </row>
    <row r="18">
      <c r="A18" s="25" t="n">
        <v>11</v>
      </c>
      <c r="B18" s="26">
        <f>EDATE(Calculator!$C$12,10)</f>
        <v/>
      </c>
      <c r="C18" s="27">
        <f>F17</f>
        <v/>
      </c>
      <c r="D18" s="28">
        <f>IF(C18&gt;0,C18*Calculator!$C$8/100/12,0)</f>
        <v/>
      </c>
      <c r="E18" s="27">
        <f>IF(C18&lt;=0,0,MIN(C18+D18,Calculator!$C$14))</f>
        <v/>
      </c>
      <c r="F18" s="29">
        <f>MAX(0,C18+D18-E18)</f>
        <v/>
      </c>
      <c r="G18" s="27">
        <f>J17</f>
        <v/>
      </c>
      <c r="H18" s="28">
        <f>IF(G18&gt;0,G18*Calculator!$C$8/100/12,0)</f>
        <v/>
      </c>
      <c r="I18" s="27">
        <f>IF(G18&lt;=0,0,MIN(G18+H18,Calculator!$C$15))</f>
        <v/>
      </c>
      <c r="J18" s="29">
        <f>MAX(0,G18+H18-I18)</f>
        <v/>
      </c>
    </row>
    <row r="19">
      <c r="A19" s="30" t="n">
        <v>12</v>
      </c>
      <c r="B19" s="31">
        <f>EDATE(Calculator!$C$12,11)</f>
        <v/>
      </c>
      <c r="C19" s="32">
        <f>F18</f>
        <v/>
      </c>
      <c r="D19" s="33">
        <f>IF(C19&gt;0,C19*Calculator!$C$8/100/12,0)</f>
        <v/>
      </c>
      <c r="E19" s="32">
        <f>IF(C19&lt;=0,0,MIN(C19+D19,Calculator!$C$14))</f>
        <v/>
      </c>
      <c r="F19" s="34">
        <f>MAX(0,C19+D19-E19)</f>
        <v/>
      </c>
      <c r="G19" s="32">
        <f>J18</f>
        <v/>
      </c>
      <c r="H19" s="33">
        <f>IF(G19&gt;0,G19*Calculator!$C$8/100/12,0)</f>
        <v/>
      </c>
      <c r="I19" s="32">
        <f>IF(G19&lt;=0,0,MIN(G19+H19,Calculator!$C$15))</f>
        <v/>
      </c>
      <c r="J19" s="34">
        <f>MAX(0,G19+H19-I19)</f>
        <v/>
      </c>
    </row>
    <row r="20">
      <c r="A20" s="25" t="n">
        <v>13</v>
      </c>
      <c r="B20" s="26">
        <f>EDATE(Calculator!$C$12,12)</f>
        <v/>
      </c>
      <c r="C20" s="27">
        <f>F19</f>
        <v/>
      </c>
      <c r="D20" s="28">
        <f>IF(C20&gt;0,C20*Calculator!$C$8/100/12,0)</f>
        <v/>
      </c>
      <c r="E20" s="27">
        <f>IF(C20&lt;=0,0,MIN(C20+D20,Calculator!$C$14))</f>
        <v/>
      </c>
      <c r="F20" s="29">
        <f>MAX(0,C20+D20-E20)</f>
        <v/>
      </c>
      <c r="G20" s="27">
        <f>J19</f>
        <v/>
      </c>
      <c r="H20" s="28">
        <f>IF(G20&gt;0,G20*Calculator!$C$8/100/12,0)</f>
        <v/>
      </c>
      <c r="I20" s="27">
        <f>IF(G20&lt;=0,0,MIN(G20+H20,Calculator!$C$15))</f>
        <v/>
      </c>
      <c r="J20" s="29">
        <f>MAX(0,G20+H20-I20)</f>
        <v/>
      </c>
    </row>
    <row r="21">
      <c r="A21" s="30" t="n">
        <v>14</v>
      </c>
      <c r="B21" s="31">
        <f>EDATE(Calculator!$C$12,13)</f>
        <v/>
      </c>
      <c r="C21" s="32">
        <f>F20</f>
        <v/>
      </c>
      <c r="D21" s="33">
        <f>IF(C21&gt;0,C21*Calculator!$C$8/100/12,0)</f>
        <v/>
      </c>
      <c r="E21" s="32">
        <f>IF(C21&lt;=0,0,MIN(C21+D21,Calculator!$C$14))</f>
        <v/>
      </c>
      <c r="F21" s="34">
        <f>MAX(0,C21+D21-E21)</f>
        <v/>
      </c>
      <c r="G21" s="32">
        <f>J20</f>
        <v/>
      </c>
      <c r="H21" s="33">
        <f>IF(G21&gt;0,G21*Calculator!$C$8/100/12,0)</f>
        <v/>
      </c>
      <c r="I21" s="32">
        <f>IF(G21&lt;=0,0,MIN(G21+H21,Calculator!$C$15))</f>
        <v/>
      </c>
      <c r="J21" s="34">
        <f>MAX(0,G21+H21-I21)</f>
        <v/>
      </c>
    </row>
    <row r="22">
      <c r="A22" s="25" t="n">
        <v>15</v>
      </c>
      <c r="B22" s="26">
        <f>EDATE(Calculator!$C$12,14)</f>
        <v/>
      </c>
      <c r="C22" s="27">
        <f>F21</f>
        <v/>
      </c>
      <c r="D22" s="28">
        <f>IF(C22&gt;0,C22*Calculator!$C$8/100/12,0)</f>
        <v/>
      </c>
      <c r="E22" s="27">
        <f>IF(C22&lt;=0,0,MIN(C22+D22,Calculator!$C$14))</f>
        <v/>
      </c>
      <c r="F22" s="29">
        <f>MAX(0,C22+D22-E22)</f>
        <v/>
      </c>
      <c r="G22" s="27">
        <f>J21</f>
        <v/>
      </c>
      <c r="H22" s="28">
        <f>IF(G22&gt;0,G22*Calculator!$C$8/100/12,0)</f>
        <v/>
      </c>
      <c r="I22" s="27">
        <f>IF(G22&lt;=0,0,MIN(G22+H22,Calculator!$C$15))</f>
        <v/>
      </c>
      <c r="J22" s="29">
        <f>MAX(0,G22+H22-I22)</f>
        <v/>
      </c>
    </row>
    <row r="23">
      <c r="A23" s="30" t="n">
        <v>16</v>
      </c>
      <c r="B23" s="31">
        <f>EDATE(Calculator!$C$12,15)</f>
        <v/>
      </c>
      <c r="C23" s="32">
        <f>F22</f>
        <v/>
      </c>
      <c r="D23" s="33">
        <f>IF(C23&gt;0,C23*Calculator!$C$8/100/12,0)</f>
        <v/>
      </c>
      <c r="E23" s="32">
        <f>IF(C23&lt;=0,0,MIN(C23+D23,Calculator!$C$14))</f>
        <v/>
      </c>
      <c r="F23" s="34">
        <f>MAX(0,C23+D23-E23)</f>
        <v/>
      </c>
      <c r="G23" s="32">
        <f>J22</f>
        <v/>
      </c>
      <c r="H23" s="33">
        <f>IF(G23&gt;0,G23*Calculator!$C$8/100/12,0)</f>
        <v/>
      </c>
      <c r="I23" s="32">
        <f>IF(G23&lt;=0,0,MIN(G23+H23,Calculator!$C$15))</f>
        <v/>
      </c>
      <c r="J23" s="34">
        <f>MAX(0,G23+H23-I23)</f>
        <v/>
      </c>
    </row>
    <row r="24">
      <c r="A24" s="25" t="n">
        <v>17</v>
      </c>
      <c r="B24" s="26">
        <f>EDATE(Calculator!$C$12,16)</f>
        <v/>
      </c>
      <c r="C24" s="27">
        <f>F23</f>
        <v/>
      </c>
      <c r="D24" s="28">
        <f>IF(C24&gt;0,C24*Calculator!$C$8/100/12,0)</f>
        <v/>
      </c>
      <c r="E24" s="27">
        <f>IF(C24&lt;=0,0,MIN(C24+D24,Calculator!$C$14))</f>
        <v/>
      </c>
      <c r="F24" s="29">
        <f>MAX(0,C24+D24-E24)</f>
        <v/>
      </c>
      <c r="G24" s="27">
        <f>J23</f>
        <v/>
      </c>
      <c r="H24" s="28">
        <f>IF(G24&gt;0,G24*Calculator!$C$8/100/12,0)</f>
        <v/>
      </c>
      <c r="I24" s="27">
        <f>IF(G24&lt;=0,0,MIN(G24+H24,Calculator!$C$15))</f>
        <v/>
      </c>
      <c r="J24" s="29">
        <f>MAX(0,G24+H24-I24)</f>
        <v/>
      </c>
    </row>
    <row r="25">
      <c r="A25" s="30" t="n">
        <v>18</v>
      </c>
      <c r="B25" s="31">
        <f>EDATE(Calculator!$C$12,17)</f>
        <v/>
      </c>
      <c r="C25" s="32">
        <f>F24</f>
        <v/>
      </c>
      <c r="D25" s="33">
        <f>IF(C25&gt;0,C25*Calculator!$C$8/100/12,0)</f>
        <v/>
      </c>
      <c r="E25" s="32">
        <f>IF(C25&lt;=0,0,MIN(C25+D25,Calculator!$C$14))</f>
        <v/>
      </c>
      <c r="F25" s="34">
        <f>MAX(0,C25+D25-E25)</f>
        <v/>
      </c>
      <c r="G25" s="32">
        <f>J24</f>
        <v/>
      </c>
      <c r="H25" s="33">
        <f>IF(G25&gt;0,G25*Calculator!$C$8/100/12,0)</f>
        <v/>
      </c>
      <c r="I25" s="32">
        <f>IF(G25&lt;=0,0,MIN(G25+H25,Calculator!$C$15))</f>
        <v/>
      </c>
      <c r="J25" s="34">
        <f>MAX(0,G25+H25-I25)</f>
        <v/>
      </c>
    </row>
    <row r="26">
      <c r="A26" s="25" t="n">
        <v>19</v>
      </c>
      <c r="B26" s="26">
        <f>EDATE(Calculator!$C$12,18)</f>
        <v/>
      </c>
      <c r="C26" s="27">
        <f>F25</f>
        <v/>
      </c>
      <c r="D26" s="28">
        <f>IF(C26&gt;0,C26*Calculator!$C$8/100/12,0)</f>
        <v/>
      </c>
      <c r="E26" s="27">
        <f>IF(C26&lt;=0,0,MIN(C26+D26,Calculator!$C$14))</f>
        <v/>
      </c>
      <c r="F26" s="29">
        <f>MAX(0,C26+D26-E26)</f>
        <v/>
      </c>
      <c r="G26" s="27">
        <f>J25</f>
        <v/>
      </c>
      <c r="H26" s="28">
        <f>IF(G26&gt;0,G26*Calculator!$C$8/100/12,0)</f>
        <v/>
      </c>
      <c r="I26" s="27">
        <f>IF(G26&lt;=0,0,MIN(G26+H26,Calculator!$C$15))</f>
        <v/>
      </c>
      <c r="J26" s="29">
        <f>MAX(0,G26+H26-I26)</f>
        <v/>
      </c>
    </row>
    <row r="27">
      <c r="A27" s="30" t="n">
        <v>20</v>
      </c>
      <c r="B27" s="31">
        <f>EDATE(Calculator!$C$12,19)</f>
        <v/>
      </c>
      <c r="C27" s="32">
        <f>F26</f>
        <v/>
      </c>
      <c r="D27" s="33">
        <f>IF(C27&gt;0,C27*Calculator!$C$8/100/12,0)</f>
        <v/>
      </c>
      <c r="E27" s="32">
        <f>IF(C27&lt;=0,0,MIN(C27+D27,Calculator!$C$14))</f>
        <v/>
      </c>
      <c r="F27" s="34">
        <f>MAX(0,C27+D27-E27)</f>
        <v/>
      </c>
      <c r="G27" s="32">
        <f>J26</f>
        <v/>
      </c>
      <c r="H27" s="33">
        <f>IF(G27&gt;0,G27*Calculator!$C$8/100/12,0)</f>
        <v/>
      </c>
      <c r="I27" s="32">
        <f>IF(G27&lt;=0,0,MIN(G27+H27,Calculator!$C$15))</f>
        <v/>
      </c>
      <c r="J27" s="34">
        <f>MAX(0,G27+H27-I27)</f>
        <v/>
      </c>
    </row>
    <row r="28">
      <c r="A28" s="25" t="n">
        <v>21</v>
      </c>
      <c r="B28" s="26">
        <f>EDATE(Calculator!$C$12,20)</f>
        <v/>
      </c>
      <c r="C28" s="27">
        <f>F27</f>
        <v/>
      </c>
      <c r="D28" s="28">
        <f>IF(C28&gt;0,C28*Calculator!$C$8/100/12,0)</f>
        <v/>
      </c>
      <c r="E28" s="27">
        <f>IF(C28&lt;=0,0,MIN(C28+D28,Calculator!$C$14))</f>
        <v/>
      </c>
      <c r="F28" s="29">
        <f>MAX(0,C28+D28-E28)</f>
        <v/>
      </c>
      <c r="G28" s="27">
        <f>J27</f>
        <v/>
      </c>
      <c r="H28" s="28">
        <f>IF(G28&gt;0,G28*Calculator!$C$8/100/12,0)</f>
        <v/>
      </c>
      <c r="I28" s="27">
        <f>IF(G28&lt;=0,0,MIN(G28+H28,Calculator!$C$15))</f>
        <v/>
      </c>
      <c r="J28" s="29">
        <f>MAX(0,G28+H28-I28)</f>
        <v/>
      </c>
    </row>
    <row r="29">
      <c r="A29" s="30" t="n">
        <v>22</v>
      </c>
      <c r="B29" s="31">
        <f>EDATE(Calculator!$C$12,21)</f>
        <v/>
      </c>
      <c r="C29" s="32">
        <f>F28</f>
        <v/>
      </c>
      <c r="D29" s="33">
        <f>IF(C29&gt;0,C29*Calculator!$C$8/100/12,0)</f>
        <v/>
      </c>
      <c r="E29" s="32">
        <f>IF(C29&lt;=0,0,MIN(C29+D29,Calculator!$C$14))</f>
        <v/>
      </c>
      <c r="F29" s="34">
        <f>MAX(0,C29+D29-E29)</f>
        <v/>
      </c>
      <c r="G29" s="32">
        <f>J28</f>
        <v/>
      </c>
      <c r="H29" s="33">
        <f>IF(G29&gt;0,G29*Calculator!$C$8/100/12,0)</f>
        <v/>
      </c>
      <c r="I29" s="32">
        <f>IF(G29&lt;=0,0,MIN(G29+H29,Calculator!$C$15))</f>
        <v/>
      </c>
      <c r="J29" s="34">
        <f>MAX(0,G29+H29-I29)</f>
        <v/>
      </c>
    </row>
    <row r="30">
      <c r="A30" s="25" t="n">
        <v>23</v>
      </c>
      <c r="B30" s="26">
        <f>EDATE(Calculator!$C$12,22)</f>
        <v/>
      </c>
      <c r="C30" s="27">
        <f>F29</f>
        <v/>
      </c>
      <c r="D30" s="28">
        <f>IF(C30&gt;0,C30*Calculator!$C$8/100/12,0)</f>
        <v/>
      </c>
      <c r="E30" s="27">
        <f>IF(C30&lt;=0,0,MIN(C30+D30,Calculator!$C$14))</f>
        <v/>
      </c>
      <c r="F30" s="29">
        <f>MAX(0,C30+D30-E30)</f>
        <v/>
      </c>
      <c r="G30" s="27">
        <f>J29</f>
        <v/>
      </c>
      <c r="H30" s="28">
        <f>IF(G30&gt;0,G30*Calculator!$C$8/100/12,0)</f>
        <v/>
      </c>
      <c r="I30" s="27">
        <f>IF(G30&lt;=0,0,MIN(G30+H30,Calculator!$C$15))</f>
        <v/>
      </c>
      <c r="J30" s="29">
        <f>MAX(0,G30+H30-I30)</f>
        <v/>
      </c>
    </row>
    <row r="31">
      <c r="A31" s="30" t="n">
        <v>24</v>
      </c>
      <c r="B31" s="31">
        <f>EDATE(Calculator!$C$12,23)</f>
        <v/>
      </c>
      <c r="C31" s="32">
        <f>F30</f>
        <v/>
      </c>
      <c r="D31" s="33">
        <f>IF(C31&gt;0,C31*Calculator!$C$8/100/12,0)</f>
        <v/>
      </c>
      <c r="E31" s="32">
        <f>IF(C31&lt;=0,0,MIN(C31+D31,Calculator!$C$14))</f>
        <v/>
      </c>
      <c r="F31" s="34">
        <f>MAX(0,C31+D31-E31)</f>
        <v/>
      </c>
      <c r="G31" s="32">
        <f>J30</f>
        <v/>
      </c>
      <c r="H31" s="33">
        <f>IF(G31&gt;0,G31*Calculator!$C$8/100/12,0)</f>
        <v/>
      </c>
      <c r="I31" s="32">
        <f>IF(G31&lt;=0,0,MIN(G31+H31,Calculator!$C$15))</f>
        <v/>
      </c>
      <c r="J31" s="34">
        <f>MAX(0,G31+H31-I31)</f>
        <v/>
      </c>
    </row>
    <row r="32">
      <c r="A32" s="25" t="n">
        <v>25</v>
      </c>
      <c r="B32" s="26">
        <f>EDATE(Calculator!$C$12,24)</f>
        <v/>
      </c>
      <c r="C32" s="27">
        <f>F31</f>
        <v/>
      </c>
      <c r="D32" s="28">
        <f>IF(C32&gt;0,C32*Calculator!$C$8/100/12,0)</f>
        <v/>
      </c>
      <c r="E32" s="27">
        <f>IF(C32&lt;=0,0,MIN(C32+D32,Calculator!$C$14))</f>
        <v/>
      </c>
      <c r="F32" s="29">
        <f>MAX(0,C32+D32-E32)</f>
        <v/>
      </c>
      <c r="G32" s="27">
        <f>J31</f>
        <v/>
      </c>
      <c r="H32" s="28">
        <f>IF(G32&gt;0,G32*Calculator!$C$8/100/12,0)</f>
        <v/>
      </c>
      <c r="I32" s="27">
        <f>IF(G32&lt;=0,0,MIN(G32+H32,Calculator!$C$15))</f>
        <v/>
      </c>
      <c r="J32" s="29">
        <f>MAX(0,G32+H32-I32)</f>
        <v/>
      </c>
    </row>
    <row r="33">
      <c r="A33" s="30" t="n">
        <v>26</v>
      </c>
      <c r="B33" s="31">
        <f>EDATE(Calculator!$C$12,25)</f>
        <v/>
      </c>
      <c r="C33" s="32">
        <f>F32</f>
        <v/>
      </c>
      <c r="D33" s="33">
        <f>IF(C33&gt;0,C33*Calculator!$C$8/100/12,0)</f>
        <v/>
      </c>
      <c r="E33" s="32">
        <f>IF(C33&lt;=0,0,MIN(C33+D33,Calculator!$C$14))</f>
        <v/>
      </c>
      <c r="F33" s="34">
        <f>MAX(0,C33+D33-E33)</f>
        <v/>
      </c>
      <c r="G33" s="32">
        <f>J32</f>
        <v/>
      </c>
      <c r="H33" s="33">
        <f>IF(G33&gt;0,G33*Calculator!$C$8/100/12,0)</f>
        <v/>
      </c>
      <c r="I33" s="32">
        <f>IF(G33&lt;=0,0,MIN(G33+H33,Calculator!$C$15))</f>
        <v/>
      </c>
      <c r="J33" s="34">
        <f>MAX(0,G33+H33-I33)</f>
        <v/>
      </c>
    </row>
    <row r="34">
      <c r="A34" s="25" t="n">
        <v>27</v>
      </c>
      <c r="B34" s="26">
        <f>EDATE(Calculator!$C$12,26)</f>
        <v/>
      </c>
      <c r="C34" s="27">
        <f>F33</f>
        <v/>
      </c>
      <c r="D34" s="28">
        <f>IF(C34&gt;0,C34*Calculator!$C$8/100/12,0)</f>
        <v/>
      </c>
      <c r="E34" s="27">
        <f>IF(C34&lt;=0,0,MIN(C34+D34,Calculator!$C$14))</f>
        <v/>
      </c>
      <c r="F34" s="29">
        <f>MAX(0,C34+D34-E34)</f>
        <v/>
      </c>
      <c r="G34" s="27">
        <f>J33</f>
        <v/>
      </c>
      <c r="H34" s="28">
        <f>IF(G34&gt;0,G34*Calculator!$C$8/100/12,0)</f>
        <v/>
      </c>
      <c r="I34" s="27">
        <f>IF(G34&lt;=0,0,MIN(G34+H34,Calculator!$C$15))</f>
        <v/>
      </c>
      <c r="J34" s="29">
        <f>MAX(0,G34+H34-I34)</f>
        <v/>
      </c>
    </row>
    <row r="35">
      <c r="A35" s="30" t="n">
        <v>28</v>
      </c>
      <c r="B35" s="31">
        <f>EDATE(Calculator!$C$12,27)</f>
        <v/>
      </c>
      <c r="C35" s="32">
        <f>F34</f>
        <v/>
      </c>
      <c r="D35" s="33">
        <f>IF(C35&gt;0,C35*Calculator!$C$8/100/12,0)</f>
        <v/>
      </c>
      <c r="E35" s="32">
        <f>IF(C35&lt;=0,0,MIN(C35+D35,Calculator!$C$14))</f>
        <v/>
      </c>
      <c r="F35" s="34">
        <f>MAX(0,C35+D35-E35)</f>
        <v/>
      </c>
      <c r="G35" s="32">
        <f>J34</f>
        <v/>
      </c>
      <c r="H35" s="33">
        <f>IF(G35&gt;0,G35*Calculator!$C$8/100/12,0)</f>
        <v/>
      </c>
      <c r="I35" s="32">
        <f>IF(G35&lt;=0,0,MIN(G35+H35,Calculator!$C$15))</f>
        <v/>
      </c>
      <c r="J35" s="34">
        <f>MAX(0,G35+H35-I35)</f>
        <v/>
      </c>
    </row>
    <row r="36">
      <c r="A36" s="25" t="n">
        <v>29</v>
      </c>
      <c r="B36" s="26">
        <f>EDATE(Calculator!$C$12,28)</f>
        <v/>
      </c>
      <c r="C36" s="27">
        <f>F35</f>
        <v/>
      </c>
      <c r="D36" s="28">
        <f>IF(C36&gt;0,C36*Calculator!$C$8/100/12,0)</f>
        <v/>
      </c>
      <c r="E36" s="27">
        <f>IF(C36&lt;=0,0,MIN(C36+D36,Calculator!$C$14))</f>
        <v/>
      </c>
      <c r="F36" s="29">
        <f>MAX(0,C36+D36-E36)</f>
        <v/>
      </c>
      <c r="G36" s="27">
        <f>J35</f>
        <v/>
      </c>
      <c r="H36" s="28">
        <f>IF(G36&gt;0,G36*Calculator!$C$8/100/12,0)</f>
        <v/>
      </c>
      <c r="I36" s="27">
        <f>IF(G36&lt;=0,0,MIN(G36+H36,Calculator!$C$15))</f>
        <v/>
      </c>
      <c r="J36" s="29">
        <f>MAX(0,G36+H36-I36)</f>
        <v/>
      </c>
    </row>
    <row r="37">
      <c r="A37" s="30" t="n">
        <v>30</v>
      </c>
      <c r="B37" s="31">
        <f>EDATE(Calculator!$C$12,29)</f>
        <v/>
      </c>
      <c r="C37" s="32">
        <f>F36</f>
        <v/>
      </c>
      <c r="D37" s="33">
        <f>IF(C37&gt;0,C37*Calculator!$C$8/100/12,0)</f>
        <v/>
      </c>
      <c r="E37" s="32">
        <f>IF(C37&lt;=0,0,MIN(C37+D37,Calculator!$C$14))</f>
        <v/>
      </c>
      <c r="F37" s="34">
        <f>MAX(0,C37+D37-E37)</f>
        <v/>
      </c>
      <c r="G37" s="32">
        <f>J36</f>
        <v/>
      </c>
      <c r="H37" s="33">
        <f>IF(G37&gt;0,G37*Calculator!$C$8/100/12,0)</f>
        <v/>
      </c>
      <c r="I37" s="32">
        <f>IF(G37&lt;=0,0,MIN(G37+H37,Calculator!$C$15))</f>
        <v/>
      </c>
      <c r="J37" s="34">
        <f>MAX(0,G37+H37-I37)</f>
        <v/>
      </c>
    </row>
    <row r="38">
      <c r="A38" s="25" t="n">
        <v>31</v>
      </c>
      <c r="B38" s="26">
        <f>EDATE(Calculator!$C$12,30)</f>
        <v/>
      </c>
      <c r="C38" s="27">
        <f>F37</f>
        <v/>
      </c>
      <c r="D38" s="28">
        <f>IF(C38&gt;0,C38*Calculator!$C$8/100/12,0)</f>
        <v/>
      </c>
      <c r="E38" s="27">
        <f>IF(C38&lt;=0,0,MIN(C38+D38,Calculator!$C$14))</f>
        <v/>
      </c>
      <c r="F38" s="29">
        <f>MAX(0,C38+D38-E38)</f>
        <v/>
      </c>
      <c r="G38" s="27">
        <f>J37</f>
        <v/>
      </c>
      <c r="H38" s="28">
        <f>IF(G38&gt;0,G38*Calculator!$C$8/100/12,0)</f>
        <v/>
      </c>
      <c r="I38" s="27">
        <f>IF(G38&lt;=0,0,MIN(G38+H38,Calculator!$C$15))</f>
        <v/>
      </c>
      <c r="J38" s="29">
        <f>MAX(0,G38+H38-I38)</f>
        <v/>
      </c>
    </row>
    <row r="39">
      <c r="A39" s="30" t="n">
        <v>32</v>
      </c>
      <c r="B39" s="31">
        <f>EDATE(Calculator!$C$12,31)</f>
        <v/>
      </c>
      <c r="C39" s="32">
        <f>F38</f>
        <v/>
      </c>
      <c r="D39" s="33">
        <f>IF(C39&gt;0,C39*Calculator!$C$8/100/12,0)</f>
        <v/>
      </c>
      <c r="E39" s="32">
        <f>IF(C39&lt;=0,0,MIN(C39+D39,Calculator!$C$14))</f>
        <v/>
      </c>
      <c r="F39" s="34">
        <f>MAX(0,C39+D39-E39)</f>
        <v/>
      </c>
      <c r="G39" s="32">
        <f>J38</f>
        <v/>
      </c>
      <c r="H39" s="33">
        <f>IF(G39&gt;0,G39*Calculator!$C$8/100/12,0)</f>
        <v/>
      </c>
      <c r="I39" s="32">
        <f>IF(G39&lt;=0,0,MIN(G39+H39,Calculator!$C$15))</f>
        <v/>
      </c>
      <c r="J39" s="34">
        <f>MAX(0,G39+H39-I39)</f>
        <v/>
      </c>
    </row>
    <row r="40">
      <c r="A40" s="25" t="n">
        <v>33</v>
      </c>
      <c r="B40" s="26">
        <f>EDATE(Calculator!$C$12,32)</f>
        <v/>
      </c>
      <c r="C40" s="27">
        <f>F39</f>
        <v/>
      </c>
      <c r="D40" s="28">
        <f>IF(C40&gt;0,C40*Calculator!$C$8/100/12,0)</f>
        <v/>
      </c>
      <c r="E40" s="27">
        <f>IF(C40&lt;=0,0,MIN(C40+D40,Calculator!$C$14))</f>
        <v/>
      </c>
      <c r="F40" s="29">
        <f>MAX(0,C40+D40-E40)</f>
        <v/>
      </c>
      <c r="G40" s="27">
        <f>J39</f>
        <v/>
      </c>
      <c r="H40" s="28">
        <f>IF(G40&gt;0,G40*Calculator!$C$8/100/12,0)</f>
        <v/>
      </c>
      <c r="I40" s="27">
        <f>IF(G40&lt;=0,0,MIN(G40+H40,Calculator!$C$15))</f>
        <v/>
      </c>
      <c r="J40" s="29">
        <f>MAX(0,G40+H40-I40)</f>
        <v/>
      </c>
    </row>
    <row r="41">
      <c r="A41" s="30" t="n">
        <v>34</v>
      </c>
      <c r="B41" s="31">
        <f>EDATE(Calculator!$C$12,33)</f>
        <v/>
      </c>
      <c r="C41" s="32">
        <f>F40</f>
        <v/>
      </c>
      <c r="D41" s="33">
        <f>IF(C41&gt;0,C41*Calculator!$C$8/100/12,0)</f>
        <v/>
      </c>
      <c r="E41" s="32">
        <f>IF(C41&lt;=0,0,MIN(C41+D41,Calculator!$C$14))</f>
        <v/>
      </c>
      <c r="F41" s="34">
        <f>MAX(0,C41+D41-E41)</f>
        <v/>
      </c>
      <c r="G41" s="32">
        <f>J40</f>
        <v/>
      </c>
      <c r="H41" s="33">
        <f>IF(G41&gt;0,G41*Calculator!$C$8/100/12,0)</f>
        <v/>
      </c>
      <c r="I41" s="32">
        <f>IF(G41&lt;=0,0,MIN(G41+H41,Calculator!$C$15))</f>
        <v/>
      </c>
      <c r="J41" s="34">
        <f>MAX(0,G41+H41-I41)</f>
        <v/>
      </c>
    </row>
    <row r="42">
      <c r="A42" s="25" t="n">
        <v>35</v>
      </c>
      <c r="B42" s="26">
        <f>EDATE(Calculator!$C$12,34)</f>
        <v/>
      </c>
      <c r="C42" s="27">
        <f>F41</f>
        <v/>
      </c>
      <c r="D42" s="28">
        <f>IF(C42&gt;0,C42*Calculator!$C$8/100/12,0)</f>
        <v/>
      </c>
      <c r="E42" s="27">
        <f>IF(C42&lt;=0,0,MIN(C42+D42,Calculator!$C$14))</f>
        <v/>
      </c>
      <c r="F42" s="29">
        <f>MAX(0,C42+D42-E42)</f>
        <v/>
      </c>
      <c r="G42" s="27">
        <f>J41</f>
        <v/>
      </c>
      <c r="H42" s="28">
        <f>IF(G42&gt;0,G42*Calculator!$C$8/100/12,0)</f>
        <v/>
      </c>
      <c r="I42" s="27">
        <f>IF(G42&lt;=0,0,MIN(G42+H42,Calculator!$C$15))</f>
        <v/>
      </c>
      <c r="J42" s="29">
        <f>MAX(0,G42+H42-I42)</f>
        <v/>
      </c>
    </row>
    <row r="43">
      <c r="A43" s="30" t="n">
        <v>36</v>
      </c>
      <c r="B43" s="31">
        <f>EDATE(Calculator!$C$12,35)</f>
        <v/>
      </c>
      <c r="C43" s="32">
        <f>F42</f>
        <v/>
      </c>
      <c r="D43" s="33">
        <f>IF(C43&gt;0,C43*Calculator!$C$8/100/12,0)</f>
        <v/>
      </c>
      <c r="E43" s="32">
        <f>IF(C43&lt;=0,0,MIN(C43+D43,Calculator!$C$14))</f>
        <v/>
      </c>
      <c r="F43" s="34">
        <f>MAX(0,C43+D43-E43)</f>
        <v/>
      </c>
      <c r="G43" s="32">
        <f>J42</f>
        <v/>
      </c>
      <c r="H43" s="33">
        <f>IF(G43&gt;0,G43*Calculator!$C$8/100/12,0)</f>
        <v/>
      </c>
      <c r="I43" s="32">
        <f>IF(G43&lt;=0,0,MIN(G43+H43,Calculator!$C$15))</f>
        <v/>
      </c>
      <c r="J43" s="34">
        <f>MAX(0,G43+H43-I43)</f>
        <v/>
      </c>
    </row>
    <row r="44">
      <c r="A44" s="25" t="n">
        <v>37</v>
      </c>
      <c r="B44" s="26">
        <f>EDATE(Calculator!$C$12,36)</f>
        <v/>
      </c>
      <c r="C44" s="27">
        <f>F43</f>
        <v/>
      </c>
      <c r="D44" s="28">
        <f>IF(C44&gt;0,C44*Calculator!$C$8/100/12,0)</f>
        <v/>
      </c>
      <c r="E44" s="27">
        <f>IF(C44&lt;=0,0,MIN(C44+D44,Calculator!$C$14))</f>
        <v/>
      </c>
      <c r="F44" s="29">
        <f>MAX(0,C44+D44-E44)</f>
        <v/>
      </c>
      <c r="G44" s="27">
        <f>J43</f>
        <v/>
      </c>
      <c r="H44" s="28">
        <f>IF(G44&gt;0,G44*Calculator!$C$8/100/12,0)</f>
        <v/>
      </c>
      <c r="I44" s="27">
        <f>IF(G44&lt;=0,0,MIN(G44+H44,Calculator!$C$15))</f>
        <v/>
      </c>
      <c r="J44" s="29">
        <f>MAX(0,G44+H44-I44)</f>
        <v/>
      </c>
    </row>
    <row r="45">
      <c r="A45" s="30" t="n">
        <v>38</v>
      </c>
      <c r="B45" s="31">
        <f>EDATE(Calculator!$C$12,37)</f>
        <v/>
      </c>
      <c r="C45" s="32">
        <f>F44</f>
        <v/>
      </c>
      <c r="D45" s="33">
        <f>IF(C45&gt;0,C45*Calculator!$C$8/100/12,0)</f>
        <v/>
      </c>
      <c r="E45" s="32">
        <f>IF(C45&lt;=0,0,MIN(C45+D45,Calculator!$C$14))</f>
        <v/>
      </c>
      <c r="F45" s="34">
        <f>MAX(0,C45+D45-E45)</f>
        <v/>
      </c>
      <c r="G45" s="32">
        <f>J44</f>
        <v/>
      </c>
      <c r="H45" s="33">
        <f>IF(G45&gt;0,G45*Calculator!$C$8/100/12,0)</f>
        <v/>
      </c>
      <c r="I45" s="32">
        <f>IF(G45&lt;=0,0,MIN(G45+H45,Calculator!$C$15))</f>
        <v/>
      </c>
      <c r="J45" s="34">
        <f>MAX(0,G45+H45-I45)</f>
        <v/>
      </c>
    </row>
    <row r="46">
      <c r="A46" s="25" t="n">
        <v>39</v>
      </c>
      <c r="B46" s="26">
        <f>EDATE(Calculator!$C$12,38)</f>
        <v/>
      </c>
      <c r="C46" s="27">
        <f>F45</f>
        <v/>
      </c>
      <c r="D46" s="28">
        <f>IF(C46&gt;0,C46*Calculator!$C$8/100/12,0)</f>
        <v/>
      </c>
      <c r="E46" s="27">
        <f>IF(C46&lt;=0,0,MIN(C46+D46,Calculator!$C$14))</f>
        <v/>
      </c>
      <c r="F46" s="29">
        <f>MAX(0,C46+D46-E46)</f>
        <v/>
      </c>
      <c r="G46" s="27">
        <f>J45</f>
        <v/>
      </c>
      <c r="H46" s="28">
        <f>IF(G46&gt;0,G46*Calculator!$C$8/100/12,0)</f>
        <v/>
      </c>
      <c r="I46" s="27">
        <f>IF(G46&lt;=0,0,MIN(G46+H46,Calculator!$C$15))</f>
        <v/>
      </c>
      <c r="J46" s="29">
        <f>MAX(0,G46+H46-I46)</f>
        <v/>
      </c>
    </row>
    <row r="47">
      <c r="A47" s="30" t="n">
        <v>40</v>
      </c>
      <c r="B47" s="31">
        <f>EDATE(Calculator!$C$12,39)</f>
        <v/>
      </c>
      <c r="C47" s="32">
        <f>F46</f>
        <v/>
      </c>
      <c r="D47" s="33">
        <f>IF(C47&gt;0,C47*Calculator!$C$8/100/12,0)</f>
        <v/>
      </c>
      <c r="E47" s="32">
        <f>IF(C47&lt;=0,0,MIN(C47+D47,Calculator!$C$14))</f>
        <v/>
      </c>
      <c r="F47" s="34">
        <f>MAX(0,C47+D47-E47)</f>
        <v/>
      </c>
      <c r="G47" s="32">
        <f>J46</f>
        <v/>
      </c>
      <c r="H47" s="33">
        <f>IF(G47&gt;0,G47*Calculator!$C$8/100/12,0)</f>
        <v/>
      </c>
      <c r="I47" s="32">
        <f>IF(G47&lt;=0,0,MIN(G47+H47,Calculator!$C$15))</f>
        <v/>
      </c>
      <c r="J47" s="34">
        <f>MAX(0,G47+H47-I47)</f>
        <v/>
      </c>
    </row>
    <row r="48">
      <c r="A48" s="25" t="n">
        <v>41</v>
      </c>
      <c r="B48" s="26">
        <f>EDATE(Calculator!$C$12,40)</f>
        <v/>
      </c>
      <c r="C48" s="27">
        <f>F47</f>
        <v/>
      </c>
      <c r="D48" s="28">
        <f>IF(C48&gt;0,C48*Calculator!$C$8/100/12,0)</f>
        <v/>
      </c>
      <c r="E48" s="27">
        <f>IF(C48&lt;=0,0,MIN(C48+D48,Calculator!$C$14))</f>
        <v/>
      </c>
      <c r="F48" s="29">
        <f>MAX(0,C48+D48-E48)</f>
        <v/>
      </c>
      <c r="G48" s="27">
        <f>J47</f>
        <v/>
      </c>
      <c r="H48" s="28">
        <f>IF(G48&gt;0,G48*Calculator!$C$8/100/12,0)</f>
        <v/>
      </c>
      <c r="I48" s="27">
        <f>IF(G48&lt;=0,0,MIN(G48+H48,Calculator!$C$15))</f>
        <v/>
      </c>
      <c r="J48" s="29">
        <f>MAX(0,G48+H48-I48)</f>
        <v/>
      </c>
    </row>
    <row r="49">
      <c r="A49" s="30" t="n">
        <v>42</v>
      </c>
      <c r="B49" s="31">
        <f>EDATE(Calculator!$C$12,41)</f>
        <v/>
      </c>
      <c r="C49" s="32">
        <f>F48</f>
        <v/>
      </c>
      <c r="D49" s="33">
        <f>IF(C49&gt;0,C49*Calculator!$C$8/100/12,0)</f>
        <v/>
      </c>
      <c r="E49" s="32">
        <f>IF(C49&lt;=0,0,MIN(C49+D49,Calculator!$C$14))</f>
        <v/>
      </c>
      <c r="F49" s="34">
        <f>MAX(0,C49+D49-E49)</f>
        <v/>
      </c>
      <c r="G49" s="32">
        <f>J48</f>
        <v/>
      </c>
      <c r="H49" s="33">
        <f>IF(G49&gt;0,G49*Calculator!$C$8/100/12,0)</f>
        <v/>
      </c>
      <c r="I49" s="32">
        <f>IF(G49&lt;=0,0,MIN(G49+H49,Calculator!$C$15))</f>
        <v/>
      </c>
      <c r="J49" s="34">
        <f>MAX(0,G49+H49-I49)</f>
        <v/>
      </c>
    </row>
    <row r="50">
      <c r="A50" s="25" t="n">
        <v>43</v>
      </c>
      <c r="B50" s="26">
        <f>EDATE(Calculator!$C$12,42)</f>
        <v/>
      </c>
      <c r="C50" s="27">
        <f>F49</f>
        <v/>
      </c>
      <c r="D50" s="28">
        <f>IF(C50&gt;0,C50*Calculator!$C$8/100/12,0)</f>
        <v/>
      </c>
      <c r="E50" s="27">
        <f>IF(C50&lt;=0,0,MIN(C50+D50,Calculator!$C$14))</f>
        <v/>
      </c>
      <c r="F50" s="29">
        <f>MAX(0,C50+D50-E50)</f>
        <v/>
      </c>
      <c r="G50" s="27">
        <f>J49</f>
        <v/>
      </c>
      <c r="H50" s="28">
        <f>IF(G50&gt;0,G50*Calculator!$C$8/100/12,0)</f>
        <v/>
      </c>
      <c r="I50" s="27">
        <f>IF(G50&lt;=0,0,MIN(G50+H50,Calculator!$C$15))</f>
        <v/>
      </c>
      <c r="J50" s="29">
        <f>MAX(0,G50+H50-I50)</f>
        <v/>
      </c>
    </row>
    <row r="51">
      <c r="A51" s="30" t="n">
        <v>44</v>
      </c>
      <c r="B51" s="31">
        <f>EDATE(Calculator!$C$12,43)</f>
        <v/>
      </c>
      <c r="C51" s="32">
        <f>F50</f>
        <v/>
      </c>
      <c r="D51" s="33">
        <f>IF(C51&gt;0,C51*Calculator!$C$8/100/12,0)</f>
        <v/>
      </c>
      <c r="E51" s="32">
        <f>IF(C51&lt;=0,0,MIN(C51+D51,Calculator!$C$14))</f>
        <v/>
      </c>
      <c r="F51" s="34">
        <f>MAX(0,C51+D51-E51)</f>
        <v/>
      </c>
      <c r="G51" s="32">
        <f>J50</f>
        <v/>
      </c>
      <c r="H51" s="33">
        <f>IF(G51&gt;0,G51*Calculator!$C$8/100/12,0)</f>
        <v/>
      </c>
      <c r="I51" s="32">
        <f>IF(G51&lt;=0,0,MIN(G51+H51,Calculator!$C$15))</f>
        <v/>
      </c>
      <c r="J51" s="34">
        <f>MAX(0,G51+H51-I51)</f>
        <v/>
      </c>
    </row>
    <row r="52">
      <c r="A52" s="25" t="n">
        <v>45</v>
      </c>
      <c r="B52" s="26">
        <f>EDATE(Calculator!$C$12,44)</f>
        <v/>
      </c>
      <c r="C52" s="27">
        <f>F51</f>
        <v/>
      </c>
      <c r="D52" s="28">
        <f>IF(C52&gt;0,C52*Calculator!$C$8/100/12,0)</f>
        <v/>
      </c>
      <c r="E52" s="27">
        <f>IF(C52&lt;=0,0,MIN(C52+D52,Calculator!$C$14))</f>
        <v/>
      </c>
      <c r="F52" s="29">
        <f>MAX(0,C52+D52-E52)</f>
        <v/>
      </c>
      <c r="G52" s="27">
        <f>J51</f>
        <v/>
      </c>
      <c r="H52" s="28">
        <f>IF(G52&gt;0,G52*Calculator!$C$8/100/12,0)</f>
        <v/>
      </c>
      <c r="I52" s="27">
        <f>IF(G52&lt;=0,0,MIN(G52+H52,Calculator!$C$15))</f>
        <v/>
      </c>
      <c r="J52" s="29">
        <f>MAX(0,G52+H52-I52)</f>
        <v/>
      </c>
    </row>
    <row r="53">
      <c r="A53" s="30" t="n">
        <v>46</v>
      </c>
      <c r="B53" s="31">
        <f>EDATE(Calculator!$C$12,45)</f>
        <v/>
      </c>
      <c r="C53" s="32">
        <f>F52</f>
        <v/>
      </c>
      <c r="D53" s="33">
        <f>IF(C53&gt;0,C53*Calculator!$C$8/100/12,0)</f>
        <v/>
      </c>
      <c r="E53" s="32">
        <f>IF(C53&lt;=0,0,MIN(C53+D53,Calculator!$C$14))</f>
        <v/>
      </c>
      <c r="F53" s="34">
        <f>MAX(0,C53+D53-E53)</f>
        <v/>
      </c>
      <c r="G53" s="32">
        <f>J52</f>
        <v/>
      </c>
      <c r="H53" s="33">
        <f>IF(G53&gt;0,G53*Calculator!$C$8/100/12,0)</f>
        <v/>
      </c>
      <c r="I53" s="32">
        <f>IF(G53&lt;=0,0,MIN(G53+H53,Calculator!$C$15))</f>
        <v/>
      </c>
      <c r="J53" s="34">
        <f>MAX(0,G53+H53-I53)</f>
        <v/>
      </c>
    </row>
    <row r="54">
      <c r="A54" s="25" t="n">
        <v>47</v>
      </c>
      <c r="B54" s="26">
        <f>EDATE(Calculator!$C$12,46)</f>
        <v/>
      </c>
      <c r="C54" s="27">
        <f>F53</f>
        <v/>
      </c>
      <c r="D54" s="28">
        <f>IF(C54&gt;0,C54*Calculator!$C$8/100/12,0)</f>
        <v/>
      </c>
      <c r="E54" s="27">
        <f>IF(C54&lt;=0,0,MIN(C54+D54,Calculator!$C$14))</f>
        <v/>
      </c>
      <c r="F54" s="29">
        <f>MAX(0,C54+D54-E54)</f>
        <v/>
      </c>
      <c r="G54" s="27">
        <f>J53</f>
        <v/>
      </c>
      <c r="H54" s="28">
        <f>IF(G54&gt;0,G54*Calculator!$C$8/100/12,0)</f>
        <v/>
      </c>
      <c r="I54" s="27">
        <f>IF(G54&lt;=0,0,MIN(G54+H54,Calculator!$C$15))</f>
        <v/>
      </c>
      <c r="J54" s="29">
        <f>MAX(0,G54+H54-I54)</f>
        <v/>
      </c>
    </row>
    <row r="55">
      <c r="A55" s="30" t="n">
        <v>48</v>
      </c>
      <c r="B55" s="31">
        <f>EDATE(Calculator!$C$12,47)</f>
        <v/>
      </c>
      <c r="C55" s="32">
        <f>F54</f>
        <v/>
      </c>
      <c r="D55" s="33">
        <f>IF(C55&gt;0,C55*Calculator!$C$8/100/12,0)</f>
        <v/>
      </c>
      <c r="E55" s="32">
        <f>IF(C55&lt;=0,0,MIN(C55+D55,Calculator!$C$14))</f>
        <v/>
      </c>
      <c r="F55" s="34">
        <f>MAX(0,C55+D55-E55)</f>
        <v/>
      </c>
      <c r="G55" s="32">
        <f>J54</f>
        <v/>
      </c>
      <c r="H55" s="33">
        <f>IF(G55&gt;0,G55*Calculator!$C$8/100/12,0)</f>
        <v/>
      </c>
      <c r="I55" s="32">
        <f>IF(G55&lt;=0,0,MIN(G55+H55,Calculator!$C$15))</f>
        <v/>
      </c>
      <c r="J55" s="34">
        <f>MAX(0,G55+H55-I55)</f>
        <v/>
      </c>
    </row>
    <row r="56">
      <c r="A56" s="25" t="n">
        <v>49</v>
      </c>
      <c r="B56" s="26">
        <f>EDATE(Calculator!$C$12,48)</f>
        <v/>
      </c>
      <c r="C56" s="27">
        <f>F55</f>
        <v/>
      </c>
      <c r="D56" s="28">
        <f>IF(C56&gt;0,C56*Calculator!$C$8/100/12,0)</f>
        <v/>
      </c>
      <c r="E56" s="27">
        <f>IF(C56&lt;=0,0,MIN(C56+D56,Calculator!$C$14))</f>
        <v/>
      </c>
      <c r="F56" s="29">
        <f>MAX(0,C56+D56-E56)</f>
        <v/>
      </c>
      <c r="G56" s="27">
        <f>J55</f>
        <v/>
      </c>
      <c r="H56" s="28">
        <f>IF(G56&gt;0,G56*Calculator!$C$8/100/12,0)</f>
        <v/>
      </c>
      <c r="I56" s="27">
        <f>IF(G56&lt;=0,0,MIN(G56+H56,Calculator!$C$15))</f>
        <v/>
      </c>
      <c r="J56" s="29">
        <f>MAX(0,G56+H56-I56)</f>
        <v/>
      </c>
    </row>
    <row r="57">
      <c r="A57" s="30" t="n">
        <v>50</v>
      </c>
      <c r="B57" s="31">
        <f>EDATE(Calculator!$C$12,49)</f>
        <v/>
      </c>
      <c r="C57" s="32">
        <f>F56</f>
        <v/>
      </c>
      <c r="D57" s="33">
        <f>IF(C57&gt;0,C57*Calculator!$C$8/100/12,0)</f>
        <v/>
      </c>
      <c r="E57" s="32">
        <f>IF(C57&lt;=0,0,MIN(C57+D57,Calculator!$C$14))</f>
        <v/>
      </c>
      <c r="F57" s="34">
        <f>MAX(0,C57+D57-E57)</f>
        <v/>
      </c>
      <c r="G57" s="32">
        <f>J56</f>
        <v/>
      </c>
      <c r="H57" s="33">
        <f>IF(G57&gt;0,G57*Calculator!$C$8/100/12,0)</f>
        <v/>
      </c>
      <c r="I57" s="32">
        <f>IF(G57&lt;=0,0,MIN(G57+H57,Calculator!$C$15))</f>
        <v/>
      </c>
      <c r="J57" s="34">
        <f>MAX(0,G57+H57-I57)</f>
        <v/>
      </c>
    </row>
    <row r="58">
      <c r="A58" s="25" t="n">
        <v>51</v>
      </c>
      <c r="B58" s="26">
        <f>EDATE(Calculator!$C$12,50)</f>
        <v/>
      </c>
      <c r="C58" s="27">
        <f>F57</f>
        <v/>
      </c>
      <c r="D58" s="28">
        <f>IF(C58&gt;0,C58*Calculator!$C$8/100/12,0)</f>
        <v/>
      </c>
      <c r="E58" s="27">
        <f>IF(C58&lt;=0,0,MIN(C58+D58,Calculator!$C$14))</f>
        <v/>
      </c>
      <c r="F58" s="29">
        <f>MAX(0,C58+D58-E58)</f>
        <v/>
      </c>
      <c r="G58" s="27">
        <f>J57</f>
        <v/>
      </c>
      <c r="H58" s="28">
        <f>IF(G58&gt;0,G58*Calculator!$C$8/100/12,0)</f>
        <v/>
      </c>
      <c r="I58" s="27">
        <f>IF(G58&lt;=0,0,MIN(G58+H58,Calculator!$C$15))</f>
        <v/>
      </c>
      <c r="J58" s="29">
        <f>MAX(0,G58+H58-I58)</f>
        <v/>
      </c>
    </row>
    <row r="59">
      <c r="A59" s="30" t="n">
        <v>52</v>
      </c>
      <c r="B59" s="31">
        <f>EDATE(Calculator!$C$12,51)</f>
        <v/>
      </c>
      <c r="C59" s="32">
        <f>F58</f>
        <v/>
      </c>
      <c r="D59" s="33">
        <f>IF(C59&gt;0,C59*Calculator!$C$8/100/12,0)</f>
        <v/>
      </c>
      <c r="E59" s="32">
        <f>IF(C59&lt;=0,0,MIN(C59+D59,Calculator!$C$14))</f>
        <v/>
      </c>
      <c r="F59" s="34">
        <f>MAX(0,C59+D59-E59)</f>
        <v/>
      </c>
      <c r="G59" s="32">
        <f>J58</f>
        <v/>
      </c>
      <c r="H59" s="33">
        <f>IF(G59&gt;0,G59*Calculator!$C$8/100/12,0)</f>
        <v/>
      </c>
      <c r="I59" s="32">
        <f>IF(G59&lt;=0,0,MIN(G59+H59,Calculator!$C$15))</f>
        <v/>
      </c>
      <c r="J59" s="34">
        <f>MAX(0,G59+H59-I59)</f>
        <v/>
      </c>
    </row>
    <row r="60">
      <c r="A60" s="25" t="n">
        <v>53</v>
      </c>
      <c r="B60" s="26">
        <f>EDATE(Calculator!$C$12,52)</f>
        <v/>
      </c>
      <c r="C60" s="27">
        <f>F59</f>
        <v/>
      </c>
      <c r="D60" s="28">
        <f>IF(C60&gt;0,C60*Calculator!$C$8/100/12,0)</f>
        <v/>
      </c>
      <c r="E60" s="27">
        <f>IF(C60&lt;=0,0,MIN(C60+D60,Calculator!$C$14))</f>
        <v/>
      </c>
      <c r="F60" s="29">
        <f>MAX(0,C60+D60-E60)</f>
        <v/>
      </c>
      <c r="G60" s="27">
        <f>J59</f>
        <v/>
      </c>
      <c r="H60" s="28">
        <f>IF(G60&gt;0,G60*Calculator!$C$8/100/12,0)</f>
        <v/>
      </c>
      <c r="I60" s="27">
        <f>IF(G60&lt;=0,0,MIN(G60+H60,Calculator!$C$15))</f>
        <v/>
      </c>
      <c r="J60" s="29">
        <f>MAX(0,G60+H60-I60)</f>
        <v/>
      </c>
    </row>
    <row r="61">
      <c r="A61" s="30" t="n">
        <v>54</v>
      </c>
      <c r="B61" s="31">
        <f>EDATE(Calculator!$C$12,53)</f>
        <v/>
      </c>
      <c r="C61" s="32">
        <f>F60</f>
        <v/>
      </c>
      <c r="D61" s="33">
        <f>IF(C61&gt;0,C61*Calculator!$C$8/100/12,0)</f>
        <v/>
      </c>
      <c r="E61" s="32">
        <f>IF(C61&lt;=0,0,MIN(C61+D61,Calculator!$C$14))</f>
        <v/>
      </c>
      <c r="F61" s="34">
        <f>MAX(0,C61+D61-E61)</f>
        <v/>
      </c>
      <c r="G61" s="32">
        <f>J60</f>
        <v/>
      </c>
      <c r="H61" s="33">
        <f>IF(G61&gt;0,G61*Calculator!$C$8/100/12,0)</f>
        <v/>
      </c>
      <c r="I61" s="32">
        <f>IF(G61&lt;=0,0,MIN(G61+H61,Calculator!$C$15))</f>
        <v/>
      </c>
      <c r="J61" s="34">
        <f>MAX(0,G61+H61-I61)</f>
        <v/>
      </c>
    </row>
    <row r="62">
      <c r="A62" s="25" t="n">
        <v>55</v>
      </c>
      <c r="B62" s="26">
        <f>EDATE(Calculator!$C$12,54)</f>
        <v/>
      </c>
      <c r="C62" s="27">
        <f>F61</f>
        <v/>
      </c>
      <c r="D62" s="28">
        <f>IF(C62&gt;0,C62*Calculator!$C$8/100/12,0)</f>
        <v/>
      </c>
      <c r="E62" s="27">
        <f>IF(C62&lt;=0,0,MIN(C62+D62,Calculator!$C$14))</f>
        <v/>
      </c>
      <c r="F62" s="29">
        <f>MAX(0,C62+D62-E62)</f>
        <v/>
      </c>
      <c r="G62" s="27">
        <f>J61</f>
        <v/>
      </c>
      <c r="H62" s="28">
        <f>IF(G62&gt;0,G62*Calculator!$C$8/100/12,0)</f>
        <v/>
      </c>
      <c r="I62" s="27">
        <f>IF(G62&lt;=0,0,MIN(G62+H62,Calculator!$C$15))</f>
        <v/>
      </c>
      <c r="J62" s="29">
        <f>MAX(0,G62+H62-I62)</f>
        <v/>
      </c>
    </row>
    <row r="63">
      <c r="A63" s="30" t="n">
        <v>56</v>
      </c>
      <c r="B63" s="31">
        <f>EDATE(Calculator!$C$12,55)</f>
        <v/>
      </c>
      <c r="C63" s="32">
        <f>F62</f>
        <v/>
      </c>
      <c r="D63" s="33">
        <f>IF(C63&gt;0,C63*Calculator!$C$8/100/12,0)</f>
        <v/>
      </c>
      <c r="E63" s="32">
        <f>IF(C63&lt;=0,0,MIN(C63+D63,Calculator!$C$14))</f>
        <v/>
      </c>
      <c r="F63" s="34">
        <f>MAX(0,C63+D63-E63)</f>
        <v/>
      </c>
      <c r="G63" s="32">
        <f>J62</f>
        <v/>
      </c>
      <c r="H63" s="33">
        <f>IF(G63&gt;0,G63*Calculator!$C$8/100/12,0)</f>
        <v/>
      </c>
      <c r="I63" s="32">
        <f>IF(G63&lt;=0,0,MIN(G63+H63,Calculator!$C$15))</f>
        <v/>
      </c>
      <c r="J63" s="34">
        <f>MAX(0,G63+H63-I63)</f>
        <v/>
      </c>
    </row>
    <row r="64">
      <c r="A64" s="25" t="n">
        <v>57</v>
      </c>
      <c r="B64" s="26">
        <f>EDATE(Calculator!$C$12,56)</f>
        <v/>
      </c>
      <c r="C64" s="27">
        <f>F63</f>
        <v/>
      </c>
      <c r="D64" s="28">
        <f>IF(C64&gt;0,C64*Calculator!$C$8/100/12,0)</f>
        <v/>
      </c>
      <c r="E64" s="27">
        <f>IF(C64&lt;=0,0,MIN(C64+D64,Calculator!$C$14))</f>
        <v/>
      </c>
      <c r="F64" s="29">
        <f>MAX(0,C64+D64-E64)</f>
        <v/>
      </c>
      <c r="G64" s="27">
        <f>J63</f>
        <v/>
      </c>
      <c r="H64" s="28">
        <f>IF(G64&gt;0,G64*Calculator!$C$8/100/12,0)</f>
        <v/>
      </c>
      <c r="I64" s="27">
        <f>IF(G64&lt;=0,0,MIN(G64+H64,Calculator!$C$15))</f>
        <v/>
      </c>
      <c r="J64" s="29">
        <f>MAX(0,G64+H64-I64)</f>
        <v/>
      </c>
    </row>
    <row r="65">
      <c r="A65" s="30" t="n">
        <v>58</v>
      </c>
      <c r="B65" s="31">
        <f>EDATE(Calculator!$C$12,57)</f>
        <v/>
      </c>
      <c r="C65" s="32">
        <f>F64</f>
        <v/>
      </c>
      <c r="D65" s="33">
        <f>IF(C65&gt;0,C65*Calculator!$C$8/100/12,0)</f>
        <v/>
      </c>
      <c r="E65" s="32">
        <f>IF(C65&lt;=0,0,MIN(C65+D65,Calculator!$C$14))</f>
        <v/>
      </c>
      <c r="F65" s="34">
        <f>MAX(0,C65+D65-E65)</f>
        <v/>
      </c>
      <c r="G65" s="32">
        <f>J64</f>
        <v/>
      </c>
      <c r="H65" s="33">
        <f>IF(G65&gt;0,G65*Calculator!$C$8/100/12,0)</f>
        <v/>
      </c>
      <c r="I65" s="32">
        <f>IF(G65&lt;=0,0,MIN(G65+H65,Calculator!$C$15))</f>
        <v/>
      </c>
      <c r="J65" s="34">
        <f>MAX(0,G65+H65-I65)</f>
        <v/>
      </c>
    </row>
    <row r="66">
      <c r="A66" s="25" t="n">
        <v>59</v>
      </c>
      <c r="B66" s="26">
        <f>EDATE(Calculator!$C$12,58)</f>
        <v/>
      </c>
      <c r="C66" s="27">
        <f>F65</f>
        <v/>
      </c>
      <c r="D66" s="28">
        <f>IF(C66&gt;0,C66*Calculator!$C$8/100/12,0)</f>
        <v/>
      </c>
      <c r="E66" s="27">
        <f>IF(C66&lt;=0,0,MIN(C66+D66,Calculator!$C$14))</f>
        <v/>
      </c>
      <c r="F66" s="29">
        <f>MAX(0,C66+D66-E66)</f>
        <v/>
      </c>
      <c r="G66" s="27">
        <f>J65</f>
        <v/>
      </c>
      <c r="H66" s="28">
        <f>IF(G66&gt;0,G66*Calculator!$C$8/100/12,0)</f>
        <v/>
      </c>
      <c r="I66" s="27">
        <f>IF(G66&lt;=0,0,MIN(G66+H66,Calculator!$C$15))</f>
        <v/>
      </c>
      <c r="J66" s="29">
        <f>MAX(0,G66+H66-I66)</f>
        <v/>
      </c>
    </row>
    <row r="67">
      <c r="A67" s="30" t="n">
        <v>60</v>
      </c>
      <c r="B67" s="31">
        <f>EDATE(Calculator!$C$12,59)</f>
        <v/>
      </c>
      <c r="C67" s="32">
        <f>F66</f>
        <v/>
      </c>
      <c r="D67" s="33">
        <f>IF(C67&gt;0,C67*Calculator!$C$8/100/12,0)</f>
        <v/>
      </c>
      <c r="E67" s="32">
        <f>IF(C67&lt;=0,0,MIN(C67+D67,Calculator!$C$14))</f>
        <v/>
      </c>
      <c r="F67" s="34">
        <f>MAX(0,C67+D67-E67)</f>
        <v/>
      </c>
      <c r="G67" s="32">
        <f>J66</f>
        <v/>
      </c>
      <c r="H67" s="33">
        <f>IF(G67&gt;0,G67*Calculator!$C$8/100/12,0)</f>
        <v/>
      </c>
      <c r="I67" s="32">
        <f>IF(G67&lt;=0,0,MIN(G67+H67,Calculator!$C$15))</f>
        <v/>
      </c>
      <c r="J67" s="34">
        <f>MAX(0,G67+H67-I67)</f>
        <v/>
      </c>
    </row>
    <row r="68">
      <c r="A68" s="25" t="n">
        <v>61</v>
      </c>
      <c r="B68" s="26">
        <f>EDATE(Calculator!$C$12,60)</f>
        <v/>
      </c>
      <c r="C68" s="27">
        <f>F67</f>
        <v/>
      </c>
      <c r="D68" s="28">
        <f>IF(C68&gt;0,C68*Calculator!$C$8/100/12,0)</f>
        <v/>
      </c>
      <c r="E68" s="27">
        <f>IF(C68&lt;=0,0,MIN(C68+D68,Calculator!$C$14))</f>
        <v/>
      </c>
      <c r="F68" s="29">
        <f>MAX(0,C68+D68-E68)</f>
        <v/>
      </c>
      <c r="G68" s="27">
        <f>J67</f>
        <v/>
      </c>
      <c r="H68" s="28">
        <f>IF(G68&gt;0,G68*Calculator!$C$8/100/12,0)</f>
        <v/>
      </c>
      <c r="I68" s="27">
        <f>IF(G68&lt;=0,0,MIN(G68+H68,Calculator!$C$15))</f>
        <v/>
      </c>
      <c r="J68" s="29">
        <f>MAX(0,G68+H68-I68)</f>
        <v/>
      </c>
    </row>
    <row r="69">
      <c r="A69" s="30" t="n">
        <v>62</v>
      </c>
      <c r="B69" s="31">
        <f>EDATE(Calculator!$C$12,61)</f>
        <v/>
      </c>
      <c r="C69" s="32">
        <f>F68</f>
        <v/>
      </c>
      <c r="D69" s="33">
        <f>IF(C69&gt;0,C69*Calculator!$C$8/100/12,0)</f>
        <v/>
      </c>
      <c r="E69" s="32">
        <f>IF(C69&lt;=0,0,MIN(C69+D69,Calculator!$C$14))</f>
        <v/>
      </c>
      <c r="F69" s="34">
        <f>MAX(0,C69+D69-E69)</f>
        <v/>
      </c>
      <c r="G69" s="32">
        <f>J68</f>
        <v/>
      </c>
      <c r="H69" s="33">
        <f>IF(G69&gt;0,G69*Calculator!$C$8/100/12,0)</f>
        <v/>
      </c>
      <c r="I69" s="32">
        <f>IF(G69&lt;=0,0,MIN(G69+H69,Calculator!$C$15))</f>
        <v/>
      </c>
      <c r="J69" s="34">
        <f>MAX(0,G69+H69-I69)</f>
        <v/>
      </c>
    </row>
    <row r="70">
      <c r="A70" s="25" t="n">
        <v>63</v>
      </c>
      <c r="B70" s="26">
        <f>EDATE(Calculator!$C$12,62)</f>
        <v/>
      </c>
      <c r="C70" s="27">
        <f>F69</f>
        <v/>
      </c>
      <c r="D70" s="28">
        <f>IF(C70&gt;0,C70*Calculator!$C$8/100/12,0)</f>
        <v/>
      </c>
      <c r="E70" s="27">
        <f>IF(C70&lt;=0,0,MIN(C70+D70,Calculator!$C$14))</f>
        <v/>
      </c>
      <c r="F70" s="29">
        <f>MAX(0,C70+D70-E70)</f>
        <v/>
      </c>
      <c r="G70" s="27">
        <f>J69</f>
        <v/>
      </c>
      <c r="H70" s="28">
        <f>IF(G70&gt;0,G70*Calculator!$C$8/100/12,0)</f>
        <v/>
      </c>
      <c r="I70" s="27">
        <f>IF(G70&lt;=0,0,MIN(G70+H70,Calculator!$C$15))</f>
        <v/>
      </c>
      <c r="J70" s="29">
        <f>MAX(0,G70+H70-I70)</f>
        <v/>
      </c>
    </row>
    <row r="71">
      <c r="A71" s="30" t="n">
        <v>64</v>
      </c>
      <c r="B71" s="31">
        <f>EDATE(Calculator!$C$12,63)</f>
        <v/>
      </c>
      <c r="C71" s="32">
        <f>F70</f>
        <v/>
      </c>
      <c r="D71" s="33">
        <f>IF(C71&gt;0,C71*Calculator!$C$8/100/12,0)</f>
        <v/>
      </c>
      <c r="E71" s="32">
        <f>IF(C71&lt;=0,0,MIN(C71+D71,Calculator!$C$14))</f>
        <v/>
      </c>
      <c r="F71" s="34">
        <f>MAX(0,C71+D71-E71)</f>
        <v/>
      </c>
      <c r="G71" s="32">
        <f>J70</f>
        <v/>
      </c>
      <c r="H71" s="33">
        <f>IF(G71&gt;0,G71*Calculator!$C$8/100/12,0)</f>
        <v/>
      </c>
      <c r="I71" s="32">
        <f>IF(G71&lt;=0,0,MIN(G71+H71,Calculator!$C$15))</f>
        <v/>
      </c>
      <c r="J71" s="34">
        <f>MAX(0,G71+H71-I71)</f>
        <v/>
      </c>
    </row>
    <row r="72">
      <c r="A72" s="25" t="n">
        <v>65</v>
      </c>
      <c r="B72" s="26">
        <f>EDATE(Calculator!$C$12,64)</f>
        <v/>
      </c>
      <c r="C72" s="27">
        <f>F71</f>
        <v/>
      </c>
      <c r="D72" s="28">
        <f>IF(C72&gt;0,C72*Calculator!$C$8/100/12,0)</f>
        <v/>
      </c>
      <c r="E72" s="27">
        <f>IF(C72&lt;=0,0,MIN(C72+D72,Calculator!$C$14))</f>
        <v/>
      </c>
      <c r="F72" s="29">
        <f>MAX(0,C72+D72-E72)</f>
        <v/>
      </c>
      <c r="G72" s="27">
        <f>J71</f>
        <v/>
      </c>
      <c r="H72" s="28">
        <f>IF(G72&gt;0,G72*Calculator!$C$8/100/12,0)</f>
        <v/>
      </c>
      <c r="I72" s="27">
        <f>IF(G72&lt;=0,0,MIN(G72+H72,Calculator!$C$15))</f>
        <v/>
      </c>
      <c r="J72" s="29">
        <f>MAX(0,G72+H72-I72)</f>
        <v/>
      </c>
    </row>
    <row r="73">
      <c r="A73" s="30" t="n">
        <v>66</v>
      </c>
      <c r="B73" s="31">
        <f>EDATE(Calculator!$C$12,65)</f>
        <v/>
      </c>
      <c r="C73" s="32">
        <f>F72</f>
        <v/>
      </c>
      <c r="D73" s="33">
        <f>IF(C73&gt;0,C73*Calculator!$C$8/100/12,0)</f>
        <v/>
      </c>
      <c r="E73" s="32">
        <f>IF(C73&lt;=0,0,MIN(C73+D73,Calculator!$C$14))</f>
        <v/>
      </c>
      <c r="F73" s="34">
        <f>MAX(0,C73+D73-E73)</f>
        <v/>
      </c>
      <c r="G73" s="32">
        <f>J72</f>
        <v/>
      </c>
      <c r="H73" s="33">
        <f>IF(G73&gt;0,G73*Calculator!$C$8/100/12,0)</f>
        <v/>
      </c>
      <c r="I73" s="32">
        <f>IF(G73&lt;=0,0,MIN(G73+H73,Calculator!$C$15))</f>
        <v/>
      </c>
      <c r="J73" s="34">
        <f>MAX(0,G73+H73-I73)</f>
        <v/>
      </c>
    </row>
    <row r="74">
      <c r="A74" s="25" t="n">
        <v>67</v>
      </c>
      <c r="B74" s="26">
        <f>EDATE(Calculator!$C$12,66)</f>
        <v/>
      </c>
      <c r="C74" s="27">
        <f>F73</f>
        <v/>
      </c>
      <c r="D74" s="28">
        <f>IF(C74&gt;0,C74*Calculator!$C$8/100/12,0)</f>
        <v/>
      </c>
      <c r="E74" s="27">
        <f>IF(C74&lt;=0,0,MIN(C74+D74,Calculator!$C$14))</f>
        <v/>
      </c>
      <c r="F74" s="29">
        <f>MAX(0,C74+D74-E74)</f>
        <v/>
      </c>
      <c r="G74" s="27">
        <f>J73</f>
        <v/>
      </c>
      <c r="H74" s="28">
        <f>IF(G74&gt;0,G74*Calculator!$C$8/100/12,0)</f>
        <v/>
      </c>
      <c r="I74" s="27">
        <f>IF(G74&lt;=0,0,MIN(G74+H74,Calculator!$C$15))</f>
        <v/>
      </c>
      <c r="J74" s="29">
        <f>MAX(0,G74+H74-I74)</f>
        <v/>
      </c>
    </row>
    <row r="75">
      <c r="A75" s="30" t="n">
        <v>68</v>
      </c>
      <c r="B75" s="31">
        <f>EDATE(Calculator!$C$12,67)</f>
        <v/>
      </c>
      <c r="C75" s="32">
        <f>F74</f>
        <v/>
      </c>
      <c r="D75" s="33">
        <f>IF(C75&gt;0,C75*Calculator!$C$8/100/12,0)</f>
        <v/>
      </c>
      <c r="E75" s="32">
        <f>IF(C75&lt;=0,0,MIN(C75+D75,Calculator!$C$14))</f>
        <v/>
      </c>
      <c r="F75" s="34">
        <f>MAX(0,C75+D75-E75)</f>
        <v/>
      </c>
      <c r="G75" s="32">
        <f>J74</f>
        <v/>
      </c>
      <c r="H75" s="33">
        <f>IF(G75&gt;0,G75*Calculator!$C$8/100/12,0)</f>
        <v/>
      </c>
      <c r="I75" s="32">
        <f>IF(G75&lt;=0,0,MIN(G75+H75,Calculator!$C$15))</f>
        <v/>
      </c>
      <c r="J75" s="34">
        <f>MAX(0,G75+H75-I75)</f>
        <v/>
      </c>
    </row>
    <row r="76">
      <c r="A76" s="25" t="n">
        <v>69</v>
      </c>
      <c r="B76" s="26">
        <f>EDATE(Calculator!$C$12,68)</f>
        <v/>
      </c>
      <c r="C76" s="27">
        <f>F75</f>
        <v/>
      </c>
      <c r="D76" s="28">
        <f>IF(C76&gt;0,C76*Calculator!$C$8/100/12,0)</f>
        <v/>
      </c>
      <c r="E76" s="27">
        <f>IF(C76&lt;=0,0,MIN(C76+D76,Calculator!$C$14))</f>
        <v/>
      </c>
      <c r="F76" s="29">
        <f>MAX(0,C76+D76-E76)</f>
        <v/>
      </c>
      <c r="G76" s="27">
        <f>J75</f>
        <v/>
      </c>
      <c r="H76" s="28">
        <f>IF(G76&gt;0,G76*Calculator!$C$8/100/12,0)</f>
        <v/>
      </c>
      <c r="I76" s="27">
        <f>IF(G76&lt;=0,0,MIN(G76+H76,Calculator!$C$15))</f>
        <v/>
      </c>
      <c r="J76" s="29">
        <f>MAX(0,G76+H76-I76)</f>
        <v/>
      </c>
    </row>
    <row r="77">
      <c r="A77" s="30" t="n">
        <v>70</v>
      </c>
      <c r="B77" s="31">
        <f>EDATE(Calculator!$C$12,69)</f>
        <v/>
      </c>
      <c r="C77" s="32">
        <f>F76</f>
        <v/>
      </c>
      <c r="D77" s="33">
        <f>IF(C77&gt;0,C77*Calculator!$C$8/100/12,0)</f>
        <v/>
      </c>
      <c r="E77" s="32">
        <f>IF(C77&lt;=0,0,MIN(C77+D77,Calculator!$C$14))</f>
        <v/>
      </c>
      <c r="F77" s="34">
        <f>MAX(0,C77+D77-E77)</f>
        <v/>
      </c>
      <c r="G77" s="32">
        <f>J76</f>
        <v/>
      </c>
      <c r="H77" s="33">
        <f>IF(G77&gt;0,G77*Calculator!$C$8/100/12,0)</f>
        <v/>
      </c>
      <c r="I77" s="32">
        <f>IF(G77&lt;=0,0,MIN(G77+H77,Calculator!$C$15))</f>
        <v/>
      </c>
      <c r="J77" s="34">
        <f>MAX(0,G77+H77-I77)</f>
        <v/>
      </c>
    </row>
    <row r="78">
      <c r="A78" s="25" t="n">
        <v>71</v>
      </c>
      <c r="B78" s="26">
        <f>EDATE(Calculator!$C$12,70)</f>
        <v/>
      </c>
      <c r="C78" s="27">
        <f>F77</f>
        <v/>
      </c>
      <c r="D78" s="28">
        <f>IF(C78&gt;0,C78*Calculator!$C$8/100/12,0)</f>
        <v/>
      </c>
      <c r="E78" s="27">
        <f>IF(C78&lt;=0,0,MIN(C78+D78,Calculator!$C$14))</f>
        <v/>
      </c>
      <c r="F78" s="29">
        <f>MAX(0,C78+D78-E78)</f>
        <v/>
      </c>
      <c r="G78" s="27">
        <f>J77</f>
        <v/>
      </c>
      <c r="H78" s="28">
        <f>IF(G78&gt;0,G78*Calculator!$C$8/100/12,0)</f>
        <v/>
      </c>
      <c r="I78" s="27">
        <f>IF(G78&lt;=0,0,MIN(G78+H78,Calculator!$C$15))</f>
        <v/>
      </c>
      <c r="J78" s="29">
        <f>MAX(0,G78+H78-I78)</f>
        <v/>
      </c>
    </row>
    <row r="79">
      <c r="A79" s="30" t="n">
        <v>72</v>
      </c>
      <c r="B79" s="31">
        <f>EDATE(Calculator!$C$12,71)</f>
        <v/>
      </c>
      <c r="C79" s="32">
        <f>F78</f>
        <v/>
      </c>
      <c r="D79" s="33">
        <f>IF(C79&gt;0,C79*Calculator!$C$8/100/12,0)</f>
        <v/>
      </c>
      <c r="E79" s="32">
        <f>IF(C79&lt;=0,0,MIN(C79+D79,Calculator!$C$14))</f>
        <v/>
      </c>
      <c r="F79" s="34">
        <f>MAX(0,C79+D79-E79)</f>
        <v/>
      </c>
      <c r="G79" s="32">
        <f>J78</f>
        <v/>
      </c>
      <c r="H79" s="33">
        <f>IF(G79&gt;0,G79*Calculator!$C$8/100/12,0)</f>
        <v/>
      </c>
      <c r="I79" s="32">
        <f>IF(G79&lt;=0,0,MIN(G79+H79,Calculator!$C$15))</f>
        <v/>
      </c>
      <c r="J79" s="34">
        <f>MAX(0,G79+H79-I79)</f>
        <v/>
      </c>
    </row>
    <row r="80">
      <c r="A80" s="25" t="n">
        <v>73</v>
      </c>
      <c r="B80" s="26">
        <f>EDATE(Calculator!$C$12,72)</f>
        <v/>
      </c>
      <c r="C80" s="27">
        <f>F79</f>
        <v/>
      </c>
      <c r="D80" s="28">
        <f>IF(C80&gt;0,C80*Calculator!$C$8/100/12,0)</f>
        <v/>
      </c>
      <c r="E80" s="27">
        <f>IF(C80&lt;=0,0,MIN(C80+D80,Calculator!$C$14))</f>
        <v/>
      </c>
      <c r="F80" s="29">
        <f>MAX(0,C80+D80-E80)</f>
        <v/>
      </c>
      <c r="G80" s="27">
        <f>J79</f>
        <v/>
      </c>
      <c r="H80" s="28">
        <f>IF(G80&gt;0,G80*Calculator!$C$8/100/12,0)</f>
        <v/>
      </c>
      <c r="I80" s="27">
        <f>IF(G80&lt;=0,0,MIN(G80+H80,Calculator!$C$15))</f>
        <v/>
      </c>
      <c r="J80" s="29">
        <f>MAX(0,G80+H80-I80)</f>
        <v/>
      </c>
    </row>
    <row r="81">
      <c r="A81" s="30" t="n">
        <v>74</v>
      </c>
      <c r="B81" s="31">
        <f>EDATE(Calculator!$C$12,73)</f>
        <v/>
      </c>
      <c r="C81" s="32">
        <f>F80</f>
        <v/>
      </c>
      <c r="D81" s="33">
        <f>IF(C81&gt;0,C81*Calculator!$C$8/100/12,0)</f>
        <v/>
      </c>
      <c r="E81" s="32">
        <f>IF(C81&lt;=0,0,MIN(C81+D81,Calculator!$C$14))</f>
        <v/>
      </c>
      <c r="F81" s="34">
        <f>MAX(0,C81+D81-E81)</f>
        <v/>
      </c>
      <c r="G81" s="32">
        <f>J80</f>
        <v/>
      </c>
      <c r="H81" s="33">
        <f>IF(G81&gt;0,G81*Calculator!$C$8/100/12,0)</f>
        <v/>
      </c>
      <c r="I81" s="32">
        <f>IF(G81&lt;=0,0,MIN(G81+H81,Calculator!$C$15))</f>
        <v/>
      </c>
      <c r="J81" s="34">
        <f>MAX(0,G81+H81-I81)</f>
        <v/>
      </c>
    </row>
    <row r="82">
      <c r="A82" s="25" t="n">
        <v>75</v>
      </c>
      <c r="B82" s="26">
        <f>EDATE(Calculator!$C$12,74)</f>
        <v/>
      </c>
      <c r="C82" s="27">
        <f>F81</f>
        <v/>
      </c>
      <c r="D82" s="28">
        <f>IF(C82&gt;0,C82*Calculator!$C$8/100/12,0)</f>
        <v/>
      </c>
      <c r="E82" s="27">
        <f>IF(C82&lt;=0,0,MIN(C82+D82,Calculator!$C$14))</f>
        <v/>
      </c>
      <c r="F82" s="29">
        <f>MAX(0,C82+D82-E82)</f>
        <v/>
      </c>
      <c r="G82" s="27">
        <f>J81</f>
        <v/>
      </c>
      <c r="H82" s="28">
        <f>IF(G82&gt;0,G82*Calculator!$C$8/100/12,0)</f>
        <v/>
      </c>
      <c r="I82" s="27">
        <f>IF(G82&lt;=0,0,MIN(G82+H82,Calculator!$C$15))</f>
        <v/>
      </c>
      <c r="J82" s="29">
        <f>MAX(0,G82+H82-I82)</f>
        <v/>
      </c>
    </row>
    <row r="83">
      <c r="A83" s="30" t="n">
        <v>76</v>
      </c>
      <c r="B83" s="31">
        <f>EDATE(Calculator!$C$12,75)</f>
        <v/>
      </c>
      <c r="C83" s="32">
        <f>F82</f>
        <v/>
      </c>
      <c r="D83" s="33">
        <f>IF(C83&gt;0,C83*Calculator!$C$8/100/12,0)</f>
        <v/>
      </c>
      <c r="E83" s="32">
        <f>IF(C83&lt;=0,0,MIN(C83+D83,Calculator!$C$14))</f>
        <v/>
      </c>
      <c r="F83" s="34">
        <f>MAX(0,C83+D83-E83)</f>
        <v/>
      </c>
      <c r="G83" s="32">
        <f>J82</f>
        <v/>
      </c>
      <c r="H83" s="33">
        <f>IF(G83&gt;0,G83*Calculator!$C$8/100/12,0)</f>
        <v/>
      </c>
      <c r="I83" s="32">
        <f>IF(G83&lt;=0,0,MIN(G83+H83,Calculator!$C$15))</f>
        <v/>
      </c>
      <c r="J83" s="34">
        <f>MAX(0,G83+H83-I83)</f>
        <v/>
      </c>
    </row>
    <row r="84">
      <c r="A84" s="25" t="n">
        <v>77</v>
      </c>
      <c r="B84" s="26">
        <f>EDATE(Calculator!$C$12,76)</f>
        <v/>
      </c>
      <c r="C84" s="27">
        <f>F83</f>
        <v/>
      </c>
      <c r="D84" s="28">
        <f>IF(C84&gt;0,C84*Calculator!$C$8/100/12,0)</f>
        <v/>
      </c>
      <c r="E84" s="27">
        <f>IF(C84&lt;=0,0,MIN(C84+D84,Calculator!$C$14))</f>
        <v/>
      </c>
      <c r="F84" s="29">
        <f>MAX(0,C84+D84-E84)</f>
        <v/>
      </c>
      <c r="G84" s="27">
        <f>J83</f>
        <v/>
      </c>
      <c r="H84" s="28">
        <f>IF(G84&gt;0,G84*Calculator!$C$8/100/12,0)</f>
        <v/>
      </c>
      <c r="I84" s="27">
        <f>IF(G84&lt;=0,0,MIN(G84+H84,Calculator!$C$15))</f>
        <v/>
      </c>
      <c r="J84" s="29">
        <f>MAX(0,G84+H84-I84)</f>
        <v/>
      </c>
    </row>
    <row r="85">
      <c r="A85" s="30" t="n">
        <v>78</v>
      </c>
      <c r="B85" s="31">
        <f>EDATE(Calculator!$C$12,77)</f>
        <v/>
      </c>
      <c r="C85" s="32">
        <f>F84</f>
        <v/>
      </c>
      <c r="D85" s="33">
        <f>IF(C85&gt;0,C85*Calculator!$C$8/100/12,0)</f>
        <v/>
      </c>
      <c r="E85" s="32">
        <f>IF(C85&lt;=0,0,MIN(C85+D85,Calculator!$C$14))</f>
        <v/>
      </c>
      <c r="F85" s="34">
        <f>MAX(0,C85+D85-E85)</f>
        <v/>
      </c>
      <c r="G85" s="32">
        <f>J84</f>
        <v/>
      </c>
      <c r="H85" s="33">
        <f>IF(G85&gt;0,G85*Calculator!$C$8/100/12,0)</f>
        <v/>
      </c>
      <c r="I85" s="32">
        <f>IF(G85&lt;=0,0,MIN(G85+H85,Calculator!$C$15))</f>
        <v/>
      </c>
      <c r="J85" s="34">
        <f>MAX(0,G85+H85-I85)</f>
        <v/>
      </c>
    </row>
    <row r="86">
      <c r="A86" s="25" t="n">
        <v>79</v>
      </c>
      <c r="B86" s="26">
        <f>EDATE(Calculator!$C$12,78)</f>
        <v/>
      </c>
      <c r="C86" s="27">
        <f>F85</f>
        <v/>
      </c>
      <c r="D86" s="28">
        <f>IF(C86&gt;0,C86*Calculator!$C$8/100/12,0)</f>
        <v/>
      </c>
      <c r="E86" s="27">
        <f>IF(C86&lt;=0,0,MIN(C86+D86,Calculator!$C$14))</f>
        <v/>
      </c>
      <c r="F86" s="29">
        <f>MAX(0,C86+D86-E86)</f>
        <v/>
      </c>
      <c r="G86" s="27">
        <f>J85</f>
        <v/>
      </c>
      <c r="H86" s="28">
        <f>IF(G86&gt;0,G86*Calculator!$C$8/100/12,0)</f>
        <v/>
      </c>
      <c r="I86" s="27">
        <f>IF(G86&lt;=0,0,MIN(G86+H86,Calculator!$C$15))</f>
        <v/>
      </c>
      <c r="J86" s="29">
        <f>MAX(0,G86+H86-I86)</f>
        <v/>
      </c>
    </row>
    <row r="87">
      <c r="A87" s="30" t="n">
        <v>80</v>
      </c>
      <c r="B87" s="31">
        <f>EDATE(Calculator!$C$12,79)</f>
        <v/>
      </c>
      <c r="C87" s="32">
        <f>F86</f>
        <v/>
      </c>
      <c r="D87" s="33">
        <f>IF(C87&gt;0,C87*Calculator!$C$8/100/12,0)</f>
        <v/>
      </c>
      <c r="E87" s="32">
        <f>IF(C87&lt;=0,0,MIN(C87+D87,Calculator!$C$14))</f>
        <v/>
      </c>
      <c r="F87" s="34">
        <f>MAX(0,C87+D87-E87)</f>
        <v/>
      </c>
      <c r="G87" s="32">
        <f>J86</f>
        <v/>
      </c>
      <c r="H87" s="33">
        <f>IF(G87&gt;0,G87*Calculator!$C$8/100/12,0)</f>
        <v/>
      </c>
      <c r="I87" s="32">
        <f>IF(G87&lt;=0,0,MIN(G87+H87,Calculator!$C$15))</f>
        <v/>
      </c>
      <c r="J87" s="34">
        <f>MAX(0,G87+H87-I87)</f>
        <v/>
      </c>
    </row>
    <row r="88">
      <c r="A88" s="25" t="n">
        <v>81</v>
      </c>
      <c r="B88" s="26">
        <f>EDATE(Calculator!$C$12,80)</f>
        <v/>
      </c>
      <c r="C88" s="27">
        <f>F87</f>
        <v/>
      </c>
      <c r="D88" s="28">
        <f>IF(C88&gt;0,C88*Calculator!$C$8/100/12,0)</f>
        <v/>
      </c>
      <c r="E88" s="27">
        <f>IF(C88&lt;=0,0,MIN(C88+D88,Calculator!$C$14))</f>
        <v/>
      </c>
      <c r="F88" s="29">
        <f>MAX(0,C88+D88-E88)</f>
        <v/>
      </c>
      <c r="G88" s="27">
        <f>J87</f>
        <v/>
      </c>
      <c r="H88" s="28">
        <f>IF(G88&gt;0,G88*Calculator!$C$8/100/12,0)</f>
        <v/>
      </c>
      <c r="I88" s="27">
        <f>IF(G88&lt;=0,0,MIN(G88+H88,Calculator!$C$15))</f>
        <v/>
      </c>
      <c r="J88" s="29">
        <f>MAX(0,G88+H88-I88)</f>
        <v/>
      </c>
    </row>
    <row r="89">
      <c r="A89" s="30" t="n">
        <v>82</v>
      </c>
      <c r="B89" s="31">
        <f>EDATE(Calculator!$C$12,81)</f>
        <v/>
      </c>
      <c r="C89" s="32">
        <f>F88</f>
        <v/>
      </c>
      <c r="D89" s="33">
        <f>IF(C89&gt;0,C89*Calculator!$C$8/100/12,0)</f>
        <v/>
      </c>
      <c r="E89" s="32">
        <f>IF(C89&lt;=0,0,MIN(C89+D89,Calculator!$C$14))</f>
        <v/>
      </c>
      <c r="F89" s="34">
        <f>MAX(0,C89+D89-E89)</f>
        <v/>
      </c>
      <c r="G89" s="32">
        <f>J88</f>
        <v/>
      </c>
      <c r="H89" s="33">
        <f>IF(G89&gt;0,G89*Calculator!$C$8/100/12,0)</f>
        <v/>
      </c>
      <c r="I89" s="32">
        <f>IF(G89&lt;=0,0,MIN(G89+H89,Calculator!$C$15))</f>
        <v/>
      </c>
      <c r="J89" s="34">
        <f>MAX(0,G89+H89-I89)</f>
        <v/>
      </c>
    </row>
    <row r="90">
      <c r="A90" s="25" t="n">
        <v>83</v>
      </c>
      <c r="B90" s="26">
        <f>EDATE(Calculator!$C$12,82)</f>
        <v/>
      </c>
      <c r="C90" s="27">
        <f>F89</f>
        <v/>
      </c>
      <c r="D90" s="28">
        <f>IF(C90&gt;0,C90*Calculator!$C$8/100/12,0)</f>
        <v/>
      </c>
      <c r="E90" s="27">
        <f>IF(C90&lt;=0,0,MIN(C90+D90,Calculator!$C$14))</f>
        <v/>
      </c>
      <c r="F90" s="29">
        <f>MAX(0,C90+D90-E90)</f>
        <v/>
      </c>
      <c r="G90" s="27">
        <f>J89</f>
        <v/>
      </c>
      <c r="H90" s="28">
        <f>IF(G90&gt;0,G90*Calculator!$C$8/100/12,0)</f>
        <v/>
      </c>
      <c r="I90" s="27">
        <f>IF(G90&lt;=0,0,MIN(G90+H90,Calculator!$C$15))</f>
        <v/>
      </c>
      <c r="J90" s="29">
        <f>MAX(0,G90+H90-I90)</f>
        <v/>
      </c>
    </row>
    <row r="91">
      <c r="A91" s="30" t="n">
        <v>84</v>
      </c>
      <c r="B91" s="31">
        <f>EDATE(Calculator!$C$12,83)</f>
        <v/>
      </c>
      <c r="C91" s="32">
        <f>F90</f>
        <v/>
      </c>
      <c r="D91" s="33">
        <f>IF(C91&gt;0,C91*Calculator!$C$8/100/12,0)</f>
        <v/>
      </c>
      <c r="E91" s="32">
        <f>IF(C91&lt;=0,0,MIN(C91+D91,Calculator!$C$14))</f>
        <v/>
      </c>
      <c r="F91" s="34">
        <f>MAX(0,C91+D91-E91)</f>
        <v/>
      </c>
      <c r="G91" s="32">
        <f>J90</f>
        <v/>
      </c>
      <c r="H91" s="33">
        <f>IF(G91&gt;0,G91*Calculator!$C$8/100/12,0)</f>
        <v/>
      </c>
      <c r="I91" s="32">
        <f>IF(G91&lt;=0,0,MIN(G91+H91,Calculator!$C$15))</f>
        <v/>
      </c>
      <c r="J91" s="34">
        <f>MAX(0,G91+H91-I91)</f>
        <v/>
      </c>
    </row>
    <row r="92">
      <c r="A92" s="25" t="n">
        <v>85</v>
      </c>
      <c r="B92" s="26">
        <f>EDATE(Calculator!$C$12,84)</f>
        <v/>
      </c>
      <c r="C92" s="27">
        <f>F91</f>
        <v/>
      </c>
      <c r="D92" s="28">
        <f>IF(C92&gt;0,C92*Calculator!$C$8/100/12,0)</f>
        <v/>
      </c>
      <c r="E92" s="27">
        <f>IF(C92&lt;=0,0,MIN(C92+D92,Calculator!$C$14))</f>
        <v/>
      </c>
      <c r="F92" s="29">
        <f>MAX(0,C92+D92-E92)</f>
        <v/>
      </c>
      <c r="G92" s="27">
        <f>J91</f>
        <v/>
      </c>
      <c r="H92" s="28">
        <f>IF(G92&gt;0,G92*Calculator!$C$8/100/12,0)</f>
        <v/>
      </c>
      <c r="I92" s="27">
        <f>IF(G92&lt;=0,0,MIN(G92+H92,Calculator!$C$15))</f>
        <v/>
      </c>
      <c r="J92" s="29">
        <f>MAX(0,G92+H92-I92)</f>
        <v/>
      </c>
    </row>
    <row r="93">
      <c r="A93" s="30" t="n">
        <v>86</v>
      </c>
      <c r="B93" s="31">
        <f>EDATE(Calculator!$C$12,85)</f>
        <v/>
      </c>
      <c r="C93" s="32">
        <f>F92</f>
        <v/>
      </c>
      <c r="D93" s="33">
        <f>IF(C93&gt;0,C93*Calculator!$C$8/100/12,0)</f>
        <v/>
      </c>
      <c r="E93" s="32">
        <f>IF(C93&lt;=0,0,MIN(C93+D93,Calculator!$C$14))</f>
        <v/>
      </c>
      <c r="F93" s="34">
        <f>MAX(0,C93+D93-E93)</f>
        <v/>
      </c>
      <c r="G93" s="32">
        <f>J92</f>
        <v/>
      </c>
      <c r="H93" s="33">
        <f>IF(G93&gt;0,G93*Calculator!$C$8/100/12,0)</f>
        <v/>
      </c>
      <c r="I93" s="32">
        <f>IF(G93&lt;=0,0,MIN(G93+H93,Calculator!$C$15))</f>
        <v/>
      </c>
      <c r="J93" s="34">
        <f>MAX(0,G93+H93-I93)</f>
        <v/>
      </c>
    </row>
    <row r="94">
      <c r="A94" s="25" t="n">
        <v>87</v>
      </c>
      <c r="B94" s="26">
        <f>EDATE(Calculator!$C$12,86)</f>
        <v/>
      </c>
      <c r="C94" s="27">
        <f>F93</f>
        <v/>
      </c>
      <c r="D94" s="28">
        <f>IF(C94&gt;0,C94*Calculator!$C$8/100/12,0)</f>
        <v/>
      </c>
      <c r="E94" s="27">
        <f>IF(C94&lt;=0,0,MIN(C94+D94,Calculator!$C$14))</f>
        <v/>
      </c>
      <c r="F94" s="29">
        <f>MAX(0,C94+D94-E94)</f>
        <v/>
      </c>
      <c r="G94" s="27">
        <f>J93</f>
        <v/>
      </c>
      <c r="H94" s="28">
        <f>IF(G94&gt;0,G94*Calculator!$C$8/100/12,0)</f>
        <v/>
      </c>
      <c r="I94" s="27">
        <f>IF(G94&lt;=0,0,MIN(G94+H94,Calculator!$C$15))</f>
        <v/>
      </c>
      <c r="J94" s="29">
        <f>MAX(0,G94+H94-I94)</f>
        <v/>
      </c>
    </row>
    <row r="95">
      <c r="A95" s="30" t="n">
        <v>88</v>
      </c>
      <c r="B95" s="31">
        <f>EDATE(Calculator!$C$12,87)</f>
        <v/>
      </c>
      <c r="C95" s="32">
        <f>F94</f>
        <v/>
      </c>
      <c r="D95" s="33">
        <f>IF(C95&gt;0,C95*Calculator!$C$8/100/12,0)</f>
        <v/>
      </c>
      <c r="E95" s="32">
        <f>IF(C95&lt;=0,0,MIN(C95+D95,Calculator!$C$14))</f>
        <v/>
      </c>
      <c r="F95" s="34">
        <f>MAX(0,C95+D95-E95)</f>
        <v/>
      </c>
      <c r="G95" s="32">
        <f>J94</f>
        <v/>
      </c>
      <c r="H95" s="33">
        <f>IF(G95&gt;0,G95*Calculator!$C$8/100/12,0)</f>
        <v/>
      </c>
      <c r="I95" s="32">
        <f>IF(G95&lt;=0,0,MIN(G95+H95,Calculator!$C$15))</f>
        <v/>
      </c>
      <c r="J95" s="34">
        <f>MAX(0,G95+H95-I95)</f>
        <v/>
      </c>
    </row>
    <row r="96">
      <c r="A96" s="25" t="n">
        <v>89</v>
      </c>
      <c r="B96" s="26">
        <f>EDATE(Calculator!$C$12,88)</f>
        <v/>
      </c>
      <c r="C96" s="27">
        <f>F95</f>
        <v/>
      </c>
      <c r="D96" s="28">
        <f>IF(C96&gt;0,C96*Calculator!$C$8/100/12,0)</f>
        <v/>
      </c>
      <c r="E96" s="27">
        <f>IF(C96&lt;=0,0,MIN(C96+D96,Calculator!$C$14))</f>
        <v/>
      </c>
      <c r="F96" s="29">
        <f>MAX(0,C96+D96-E96)</f>
        <v/>
      </c>
      <c r="G96" s="27">
        <f>J95</f>
        <v/>
      </c>
      <c r="H96" s="28">
        <f>IF(G96&gt;0,G96*Calculator!$C$8/100/12,0)</f>
        <v/>
      </c>
      <c r="I96" s="27">
        <f>IF(G96&lt;=0,0,MIN(G96+H96,Calculator!$C$15))</f>
        <v/>
      </c>
      <c r="J96" s="29">
        <f>MAX(0,G96+H96-I96)</f>
        <v/>
      </c>
    </row>
    <row r="97">
      <c r="A97" s="30" t="n">
        <v>90</v>
      </c>
      <c r="B97" s="31">
        <f>EDATE(Calculator!$C$12,89)</f>
        <v/>
      </c>
      <c r="C97" s="32">
        <f>F96</f>
        <v/>
      </c>
      <c r="D97" s="33">
        <f>IF(C97&gt;0,C97*Calculator!$C$8/100/12,0)</f>
        <v/>
      </c>
      <c r="E97" s="32">
        <f>IF(C97&lt;=0,0,MIN(C97+D97,Calculator!$C$14))</f>
        <v/>
      </c>
      <c r="F97" s="34">
        <f>MAX(0,C97+D97-E97)</f>
        <v/>
      </c>
      <c r="G97" s="32">
        <f>J96</f>
        <v/>
      </c>
      <c r="H97" s="33">
        <f>IF(G97&gt;0,G97*Calculator!$C$8/100/12,0)</f>
        <v/>
      </c>
      <c r="I97" s="32">
        <f>IF(G97&lt;=0,0,MIN(G97+H97,Calculator!$C$15))</f>
        <v/>
      </c>
      <c r="J97" s="34">
        <f>MAX(0,G97+H97-I97)</f>
        <v/>
      </c>
    </row>
    <row r="98">
      <c r="A98" s="25" t="n">
        <v>91</v>
      </c>
      <c r="B98" s="26">
        <f>EDATE(Calculator!$C$12,90)</f>
        <v/>
      </c>
      <c r="C98" s="27">
        <f>F97</f>
        <v/>
      </c>
      <c r="D98" s="28">
        <f>IF(C98&gt;0,C98*Calculator!$C$8/100/12,0)</f>
        <v/>
      </c>
      <c r="E98" s="27">
        <f>IF(C98&lt;=0,0,MIN(C98+D98,Calculator!$C$14))</f>
        <v/>
      </c>
      <c r="F98" s="29">
        <f>MAX(0,C98+D98-E98)</f>
        <v/>
      </c>
      <c r="G98" s="27">
        <f>J97</f>
        <v/>
      </c>
      <c r="H98" s="28">
        <f>IF(G98&gt;0,G98*Calculator!$C$8/100/12,0)</f>
        <v/>
      </c>
      <c r="I98" s="27">
        <f>IF(G98&lt;=0,0,MIN(G98+H98,Calculator!$C$15))</f>
        <v/>
      </c>
      <c r="J98" s="29">
        <f>MAX(0,G98+H98-I98)</f>
        <v/>
      </c>
    </row>
    <row r="99">
      <c r="A99" s="30" t="n">
        <v>92</v>
      </c>
      <c r="B99" s="31">
        <f>EDATE(Calculator!$C$12,91)</f>
        <v/>
      </c>
      <c r="C99" s="32">
        <f>F98</f>
        <v/>
      </c>
      <c r="D99" s="33">
        <f>IF(C99&gt;0,C99*Calculator!$C$8/100/12,0)</f>
        <v/>
      </c>
      <c r="E99" s="32">
        <f>IF(C99&lt;=0,0,MIN(C99+D99,Calculator!$C$14))</f>
        <v/>
      </c>
      <c r="F99" s="34">
        <f>MAX(0,C99+D99-E99)</f>
        <v/>
      </c>
      <c r="G99" s="32">
        <f>J98</f>
        <v/>
      </c>
      <c r="H99" s="33">
        <f>IF(G99&gt;0,G99*Calculator!$C$8/100/12,0)</f>
        <v/>
      </c>
      <c r="I99" s="32">
        <f>IF(G99&lt;=0,0,MIN(G99+H99,Calculator!$C$15))</f>
        <v/>
      </c>
      <c r="J99" s="34">
        <f>MAX(0,G99+H99-I99)</f>
        <v/>
      </c>
    </row>
    <row r="100">
      <c r="A100" s="25" t="n">
        <v>93</v>
      </c>
      <c r="B100" s="26">
        <f>EDATE(Calculator!$C$12,92)</f>
        <v/>
      </c>
      <c r="C100" s="27">
        <f>F99</f>
        <v/>
      </c>
      <c r="D100" s="28">
        <f>IF(C100&gt;0,C100*Calculator!$C$8/100/12,0)</f>
        <v/>
      </c>
      <c r="E100" s="27">
        <f>IF(C100&lt;=0,0,MIN(C100+D100,Calculator!$C$14))</f>
        <v/>
      </c>
      <c r="F100" s="29">
        <f>MAX(0,C100+D100-E100)</f>
        <v/>
      </c>
      <c r="G100" s="27">
        <f>J99</f>
        <v/>
      </c>
      <c r="H100" s="28">
        <f>IF(G100&gt;0,G100*Calculator!$C$8/100/12,0)</f>
        <v/>
      </c>
      <c r="I100" s="27">
        <f>IF(G100&lt;=0,0,MIN(G100+H100,Calculator!$C$15))</f>
        <v/>
      </c>
      <c r="J100" s="29">
        <f>MAX(0,G100+H100-I100)</f>
        <v/>
      </c>
    </row>
    <row r="101">
      <c r="A101" s="30" t="n">
        <v>94</v>
      </c>
      <c r="B101" s="31">
        <f>EDATE(Calculator!$C$12,93)</f>
        <v/>
      </c>
      <c r="C101" s="32">
        <f>F100</f>
        <v/>
      </c>
      <c r="D101" s="33">
        <f>IF(C101&gt;0,C101*Calculator!$C$8/100/12,0)</f>
        <v/>
      </c>
      <c r="E101" s="32">
        <f>IF(C101&lt;=0,0,MIN(C101+D101,Calculator!$C$14))</f>
        <v/>
      </c>
      <c r="F101" s="34">
        <f>MAX(0,C101+D101-E101)</f>
        <v/>
      </c>
      <c r="G101" s="32">
        <f>J100</f>
        <v/>
      </c>
      <c r="H101" s="33">
        <f>IF(G101&gt;0,G101*Calculator!$C$8/100/12,0)</f>
        <v/>
      </c>
      <c r="I101" s="32">
        <f>IF(G101&lt;=0,0,MIN(G101+H101,Calculator!$C$15))</f>
        <v/>
      </c>
      <c r="J101" s="34">
        <f>MAX(0,G101+H101-I101)</f>
        <v/>
      </c>
    </row>
    <row r="102">
      <c r="A102" s="25" t="n">
        <v>95</v>
      </c>
      <c r="B102" s="26">
        <f>EDATE(Calculator!$C$12,94)</f>
        <v/>
      </c>
      <c r="C102" s="27">
        <f>F101</f>
        <v/>
      </c>
      <c r="D102" s="28">
        <f>IF(C102&gt;0,C102*Calculator!$C$8/100/12,0)</f>
        <v/>
      </c>
      <c r="E102" s="27">
        <f>IF(C102&lt;=0,0,MIN(C102+D102,Calculator!$C$14))</f>
        <v/>
      </c>
      <c r="F102" s="29">
        <f>MAX(0,C102+D102-E102)</f>
        <v/>
      </c>
      <c r="G102" s="27">
        <f>J101</f>
        <v/>
      </c>
      <c r="H102" s="28">
        <f>IF(G102&gt;0,G102*Calculator!$C$8/100/12,0)</f>
        <v/>
      </c>
      <c r="I102" s="27">
        <f>IF(G102&lt;=0,0,MIN(G102+H102,Calculator!$C$15))</f>
        <v/>
      </c>
      <c r="J102" s="29">
        <f>MAX(0,G102+H102-I102)</f>
        <v/>
      </c>
    </row>
    <row r="103">
      <c r="A103" s="30" t="n">
        <v>96</v>
      </c>
      <c r="B103" s="31">
        <f>EDATE(Calculator!$C$12,95)</f>
        <v/>
      </c>
      <c r="C103" s="32">
        <f>F102</f>
        <v/>
      </c>
      <c r="D103" s="33">
        <f>IF(C103&gt;0,C103*Calculator!$C$8/100/12,0)</f>
        <v/>
      </c>
      <c r="E103" s="32">
        <f>IF(C103&lt;=0,0,MIN(C103+D103,Calculator!$C$14))</f>
        <v/>
      </c>
      <c r="F103" s="34">
        <f>MAX(0,C103+D103-E103)</f>
        <v/>
      </c>
      <c r="G103" s="32">
        <f>J102</f>
        <v/>
      </c>
      <c r="H103" s="33">
        <f>IF(G103&gt;0,G103*Calculator!$C$8/100/12,0)</f>
        <v/>
      </c>
      <c r="I103" s="32">
        <f>IF(G103&lt;=0,0,MIN(G103+H103,Calculator!$C$15))</f>
        <v/>
      </c>
      <c r="J103" s="34">
        <f>MAX(0,G103+H103-I103)</f>
        <v/>
      </c>
    </row>
    <row r="104">
      <c r="A104" s="25" t="n">
        <v>97</v>
      </c>
      <c r="B104" s="26">
        <f>EDATE(Calculator!$C$12,96)</f>
        <v/>
      </c>
      <c r="C104" s="27">
        <f>F103</f>
        <v/>
      </c>
      <c r="D104" s="28">
        <f>IF(C104&gt;0,C104*Calculator!$C$8/100/12,0)</f>
        <v/>
      </c>
      <c r="E104" s="27">
        <f>IF(C104&lt;=0,0,MIN(C104+D104,Calculator!$C$14))</f>
        <v/>
      </c>
      <c r="F104" s="29">
        <f>MAX(0,C104+D104-E104)</f>
        <v/>
      </c>
      <c r="G104" s="27">
        <f>J103</f>
        <v/>
      </c>
      <c r="H104" s="28">
        <f>IF(G104&gt;0,G104*Calculator!$C$8/100/12,0)</f>
        <v/>
      </c>
      <c r="I104" s="27">
        <f>IF(G104&lt;=0,0,MIN(G104+H104,Calculator!$C$15))</f>
        <v/>
      </c>
      <c r="J104" s="29">
        <f>MAX(0,G104+H104-I104)</f>
        <v/>
      </c>
    </row>
    <row r="105">
      <c r="A105" s="30" t="n">
        <v>98</v>
      </c>
      <c r="B105" s="31">
        <f>EDATE(Calculator!$C$12,97)</f>
        <v/>
      </c>
      <c r="C105" s="32">
        <f>F104</f>
        <v/>
      </c>
      <c r="D105" s="33">
        <f>IF(C105&gt;0,C105*Calculator!$C$8/100/12,0)</f>
        <v/>
      </c>
      <c r="E105" s="32">
        <f>IF(C105&lt;=0,0,MIN(C105+D105,Calculator!$C$14))</f>
        <v/>
      </c>
      <c r="F105" s="34">
        <f>MAX(0,C105+D105-E105)</f>
        <v/>
      </c>
      <c r="G105" s="32">
        <f>J104</f>
        <v/>
      </c>
      <c r="H105" s="33">
        <f>IF(G105&gt;0,G105*Calculator!$C$8/100/12,0)</f>
        <v/>
      </c>
      <c r="I105" s="32">
        <f>IF(G105&lt;=0,0,MIN(G105+H105,Calculator!$C$15))</f>
        <v/>
      </c>
      <c r="J105" s="34">
        <f>MAX(0,G105+H105-I105)</f>
        <v/>
      </c>
    </row>
    <row r="106">
      <c r="A106" s="25" t="n">
        <v>99</v>
      </c>
      <c r="B106" s="26">
        <f>EDATE(Calculator!$C$12,98)</f>
        <v/>
      </c>
      <c r="C106" s="27">
        <f>F105</f>
        <v/>
      </c>
      <c r="D106" s="28">
        <f>IF(C106&gt;0,C106*Calculator!$C$8/100/12,0)</f>
        <v/>
      </c>
      <c r="E106" s="27">
        <f>IF(C106&lt;=0,0,MIN(C106+D106,Calculator!$C$14))</f>
        <v/>
      </c>
      <c r="F106" s="29">
        <f>MAX(0,C106+D106-E106)</f>
        <v/>
      </c>
      <c r="G106" s="27">
        <f>J105</f>
        <v/>
      </c>
      <c r="H106" s="28">
        <f>IF(G106&gt;0,G106*Calculator!$C$8/100/12,0)</f>
        <v/>
      </c>
      <c r="I106" s="27">
        <f>IF(G106&lt;=0,0,MIN(G106+H106,Calculator!$C$15))</f>
        <v/>
      </c>
      <c r="J106" s="29">
        <f>MAX(0,G106+H106-I106)</f>
        <v/>
      </c>
    </row>
    <row r="107">
      <c r="A107" s="30" t="n">
        <v>100</v>
      </c>
      <c r="B107" s="31">
        <f>EDATE(Calculator!$C$12,99)</f>
        <v/>
      </c>
      <c r="C107" s="32">
        <f>F106</f>
        <v/>
      </c>
      <c r="D107" s="33">
        <f>IF(C107&gt;0,C107*Calculator!$C$8/100/12,0)</f>
        <v/>
      </c>
      <c r="E107" s="32">
        <f>IF(C107&lt;=0,0,MIN(C107+D107,Calculator!$C$14))</f>
        <v/>
      </c>
      <c r="F107" s="34">
        <f>MAX(0,C107+D107-E107)</f>
        <v/>
      </c>
      <c r="G107" s="32">
        <f>J106</f>
        <v/>
      </c>
      <c r="H107" s="33">
        <f>IF(G107&gt;0,G107*Calculator!$C$8/100/12,0)</f>
        <v/>
      </c>
      <c r="I107" s="32">
        <f>IF(G107&lt;=0,0,MIN(G107+H107,Calculator!$C$15))</f>
        <v/>
      </c>
      <c r="J107" s="34">
        <f>MAX(0,G107+H107-I107)</f>
        <v/>
      </c>
    </row>
    <row r="108">
      <c r="A108" s="25" t="n">
        <v>101</v>
      </c>
      <c r="B108" s="26">
        <f>EDATE(Calculator!$C$12,100)</f>
        <v/>
      </c>
      <c r="C108" s="27">
        <f>F107</f>
        <v/>
      </c>
      <c r="D108" s="28">
        <f>IF(C108&gt;0,C108*Calculator!$C$8/100/12,0)</f>
        <v/>
      </c>
      <c r="E108" s="27">
        <f>IF(C108&lt;=0,0,MIN(C108+D108,Calculator!$C$14))</f>
        <v/>
      </c>
      <c r="F108" s="29">
        <f>MAX(0,C108+D108-E108)</f>
        <v/>
      </c>
      <c r="G108" s="27">
        <f>J107</f>
        <v/>
      </c>
      <c r="H108" s="28">
        <f>IF(G108&gt;0,G108*Calculator!$C$8/100/12,0)</f>
        <v/>
      </c>
      <c r="I108" s="27">
        <f>IF(G108&lt;=0,0,MIN(G108+H108,Calculator!$C$15))</f>
        <v/>
      </c>
      <c r="J108" s="29">
        <f>MAX(0,G108+H108-I108)</f>
        <v/>
      </c>
    </row>
    <row r="109">
      <c r="A109" s="30" t="n">
        <v>102</v>
      </c>
      <c r="B109" s="31">
        <f>EDATE(Calculator!$C$12,101)</f>
        <v/>
      </c>
      <c r="C109" s="32">
        <f>F108</f>
        <v/>
      </c>
      <c r="D109" s="33">
        <f>IF(C109&gt;0,C109*Calculator!$C$8/100/12,0)</f>
        <v/>
      </c>
      <c r="E109" s="32">
        <f>IF(C109&lt;=0,0,MIN(C109+D109,Calculator!$C$14))</f>
        <v/>
      </c>
      <c r="F109" s="34">
        <f>MAX(0,C109+D109-E109)</f>
        <v/>
      </c>
      <c r="G109" s="32">
        <f>J108</f>
        <v/>
      </c>
      <c r="H109" s="33">
        <f>IF(G109&gt;0,G109*Calculator!$C$8/100/12,0)</f>
        <v/>
      </c>
      <c r="I109" s="32">
        <f>IF(G109&lt;=0,0,MIN(G109+H109,Calculator!$C$15))</f>
        <v/>
      </c>
      <c r="J109" s="34">
        <f>MAX(0,G109+H109-I109)</f>
        <v/>
      </c>
    </row>
    <row r="110">
      <c r="A110" s="25" t="n">
        <v>103</v>
      </c>
      <c r="B110" s="26">
        <f>EDATE(Calculator!$C$12,102)</f>
        <v/>
      </c>
      <c r="C110" s="27">
        <f>F109</f>
        <v/>
      </c>
      <c r="D110" s="28">
        <f>IF(C110&gt;0,C110*Calculator!$C$8/100/12,0)</f>
        <v/>
      </c>
      <c r="E110" s="27">
        <f>IF(C110&lt;=0,0,MIN(C110+D110,Calculator!$C$14))</f>
        <v/>
      </c>
      <c r="F110" s="29">
        <f>MAX(0,C110+D110-E110)</f>
        <v/>
      </c>
      <c r="G110" s="27">
        <f>J109</f>
        <v/>
      </c>
      <c r="H110" s="28">
        <f>IF(G110&gt;0,G110*Calculator!$C$8/100/12,0)</f>
        <v/>
      </c>
      <c r="I110" s="27">
        <f>IF(G110&lt;=0,0,MIN(G110+H110,Calculator!$C$15))</f>
        <v/>
      </c>
      <c r="J110" s="29">
        <f>MAX(0,G110+H110-I110)</f>
        <v/>
      </c>
    </row>
    <row r="111">
      <c r="A111" s="30" t="n">
        <v>104</v>
      </c>
      <c r="B111" s="31">
        <f>EDATE(Calculator!$C$12,103)</f>
        <v/>
      </c>
      <c r="C111" s="32">
        <f>F110</f>
        <v/>
      </c>
      <c r="D111" s="33">
        <f>IF(C111&gt;0,C111*Calculator!$C$8/100/12,0)</f>
        <v/>
      </c>
      <c r="E111" s="32">
        <f>IF(C111&lt;=0,0,MIN(C111+D111,Calculator!$C$14))</f>
        <v/>
      </c>
      <c r="F111" s="34">
        <f>MAX(0,C111+D111-E111)</f>
        <v/>
      </c>
      <c r="G111" s="32">
        <f>J110</f>
        <v/>
      </c>
      <c r="H111" s="33">
        <f>IF(G111&gt;0,G111*Calculator!$C$8/100/12,0)</f>
        <v/>
      </c>
      <c r="I111" s="32">
        <f>IF(G111&lt;=0,0,MIN(G111+H111,Calculator!$C$15))</f>
        <v/>
      </c>
      <c r="J111" s="34">
        <f>MAX(0,G111+H111-I111)</f>
        <v/>
      </c>
    </row>
    <row r="112">
      <c r="A112" s="25" t="n">
        <v>105</v>
      </c>
      <c r="B112" s="26">
        <f>EDATE(Calculator!$C$12,104)</f>
        <v/>
      </c>
      <c r="C112" s="27">
        <f>F111</f>
        <v/>
      </c>
      <c r="D112" s="28">
        <f>IF(C112&gt;0,C112*Calculator!$C$8/100/12,0)</f>
        <v/>
      </c>
      <c r="E112" s="27">
        <f>IF(C112&lt;=0,0,MIN(C112+D112,Calculator!$C$14))</f>
        <v/>
      </c>
      <c r="F112" s="29">
        <f>MAX(0,C112+D112-E112)</f>
        <v/>
      </c>
      <c r="G112" s="27">
        <f>J111</f>
        <v/>
      </c>
      <c r="H112" s="28">
        <f>IF(G112&gt;0,G112*Calculator!$C$8/100/12,0)</f>
        <v/>
      </c>
      <c r="I112" s="27">
        <f>IF(G112&lt;=0,0,MIN(G112+H112,Calculator!$C$15))</f>
        <v/>
      </c>
      <c r="J112" s="29">
        <f>MAX(0,G112+H112-I112)</f>
        <v/>
      </c>
    </row>
    <row r="113">
      <c r="A113" s="30" t="n">
        <v>106</v>
      </c>
      <c r="B113" s="31">
        <f>EDATE(Calculator!$C$12,105)</f>
        <v/>
      </c>
      <c r="C113" s="32">
        <f>F112</f>
        <v/>
      </c>
      <c r="D113" s="33">
        <f>IF(C113&gt;0,C113*Calculator!$C$8/100/12,0)</f>
        <v/>
      </c>
      <c r="E113" s="32">
        <f>IF(C113&lt;=0,0,MIN(C113+D113,Calculator!$C$14))</f>
        <v/>
      </c>
      <c r="F113" s="34">
        <f>MAX(0,C113+D113-E113)</f>
        <v/>
      </c>
      <c r="G113" s="32">
        <f>J112</f>
        <v/>
      </c>
      <c r="H113" s="33">
        <f>IF(G113&gt;0,G113*Calculator!$C$8/100/12,0)</f>
        <v/>
      </c>
      <c r="I113" s="32">
        <f>IF(G113&lt;=0,0,MIN(G113+H113,Calculator!$C$15))</f>
        <v/>
      </c>
      <c r="J113" s="34">
        <f>MAX(0,G113+H113-I113)</f>
        <v/>
      </c>
    </row>
    <row r="114">
      <c r="A114" s="25" t="n">
        <v>107</v>
      </c>
      <c r="B114" s="26">
        <f>EDATE(Calculator!$C$12,106)</f>
        <v/>
      </c>
      <c r="C114" s="27">
        <f>F113</f>
        <v/>
      </c>
      <c r="D114" s="28">
        <f>IF(C114&gt;0,C114*Calculator!$C$8/100/12,0)</f>
        <v/>
      </c>
      <c r="E114" s="27">
        <f>IF(C114&lt;=0,0,MIN(C114+D114,Calculator!$C$14))</f>
        <v/>
      </c>
      <c r="F114" s="29">
        <f>MAX(0,C114+D114-E114)</f>
        <v/>
      </c>
      <c r="G114" s="27">
        <f>J113</f>
        <v/>
      </c>
      <c r="H114" s="28">
        <f>IF(G114&gt;0,G114*Calculator!$C$8/100/12,0)</f>
        <v/>
      </c>
      <c r="I114" s="27">
        <f>IF(G114&lt;=0,0,MIN(G114+H114,Calculator!$C$15))</f>
        <v/>
      </c>
      <c r="J114" s="29">
        <f>MAX(0,G114+H114-I114)</f>
        <v/>
      </c>
    </row>
    <row r="115">
      <c r="A115" s="30" t="n">
        <v>108</v>
      </c>
      <c r="B115" s="31">
        <f>EDATE(Calculator!$C$12,107)</f>
        <v/>
      </c>
      <c r="C115" s="32">
        <f>F114</f>
        <v/>
      </c>
      <c r="D115" s="33">
        <f>IF(C115&gt;0,C115*Calculator!$C$8/100/12,0)</f>
        <v/>
      </c>
      <c r="E115" s="32">
        <f>IF(C115&lt;=0,0,MIN(C115+D115,Calculator!$C$14))</f>
        <v/>
      </c>
      <c r="F115" s="34">
        <f>MAX(0,C115+D115-E115)</f>
        <v/>
      </c>
      <c r="G115" s="32">
        <f>J114</f>
        <v/>
      </c>
      <c r="H115" s="33">
        <f>IF(G115&gt;0,G115*Calculator!$C$8/100/12,0)</f>
        <v/>
      </c>
      <c r="I115" s="32">
        <f>IF(G115&lt;=0,0,MIN(G115+H115,Calculator!$C$15))</f>
        <v/>
      </c>
      <c r="J115" s="34">
        <f>MAX(0,G115+H115-I115)</f>
        <v/>
      </c>
    </row>
    <row r="116">
      <c r="A116" s="25" t="n">
        <v>109</v>
      </c>
      <c r="B116" s="26">
        <f>EDATE(Calculator!$C$12,108)</f>
        <v/>
      </c>
      <c r="C116" s="27">
        <f>F115</f>
        <v/>
      </c>
      <c r="D116" s="28">
        <f>IF(C116&gt;0,C116*Calculator!$C$8/100/12,0)</f>
        <v/>
      </c>
      <c r="E116" s="27">
        <f>IF(C116&lt;=0,0,MIN(C116+D116,Calculator!$C$14))</f>
        <v/>
      </c>
      <c r="F116" s="29">
        <f>MAX(0,C116+D116-E116)</f>
        <v/>
      </c>
      <c r="G116" s="27">
        <f>J115</f>
        <v/>
      </c>
      <c r="H116" s="28">
        <f>IF(G116&gt;0,G116*Calculator!$C$8/100/12,0)</f>
        <v/>
      </c>
      <c r="I116" s="27">
        <f>IF(G116&lt;=0,0,MIN(G116+H116,Calculator!$C$15))</f>
        <v/>
      </c>
      <c r="J116" s="29">
        <f>MAX(0,G116+H116-I116)</f>
        <v/>
      </c>
    </row>
    <row r="117">
      <c r="A117" s="30" t="n">
        <v>110</v>
      </c>
      <c r="B117" s="31">
        <f>EDATE(Calculator!$C$12,109)</f>
        <v/>
      </c>
      <c r="C117" s="32">
        <f>F116</f>
        <v/>
      </c>
      <c r="D117" s="33">
        <f>IF(C117&gt;0,C117*Calculator!$C$8/100/12,0)</f>
        <v/>
      </c>
      <c r="E117" s="32">
        <f>IF(C117&lt;=0,0,MIN(C117+D117,Calculator!$C$14))</f>
        <v/>
      </c>
      <c r="F117" s="34">
        <f>MAX(0,C117+D117-E117)</f>
        <v/>
      </c>
      <c r="G117" s="32">
        <f>J116</f>
        <v/>
      </c>
      <c r="H117" s="33">
        <f>IF(G117&gt;0,G117*Calculator!$C$8/100/12,0)</f>
        <v/>
      </c>
      <c r="I117" s="32">
        <f>IF(G117&lt;=0,0,MIN(G117+H117,Calculator!$C$15))</f>
        <v/>
      </c>
      <c r="J117" s="34">
        <f>MAX(0,G117+H117-I117)</f>
        <v/>
      </c>
    </row>
    <row r="118">
      <c r="A118" s="25" t="n">
        <v>111</v>
      </c>
      <c r="B118" s="26">
        <f>EDATE(Calculator!$C$12,110)</f>
        <v/>
      </c>
      <c r="C118" s="27">
        <f>F117</f>
        <v/>
      </c>
      <c r="D118" s="28">
        <f>IF(C118&gt;0,C118*Calculator!$C$8/100/12,0)</f>
        <v/>
      </c>
      <c r="E118" s="27">
        <f>IF(C118&lt;=0,0,MIN(C118+D118,Calculator!$C$14))</f>
        <v/>
      </c>
      <c r="F118" s="29">
        <f>MAX(0,C118+D118-E118)</f>
        <v/>
      </c>
      <c r="G118" s="27">
        <f>J117</f>
        <v/>
      </c>
      <c r="H118" s="28">
        <f>IF(G118&gt;0,G118*Calculator!$C$8/100/12,0)</f>
        <v/>
      </c>
      <c r="I118" s="27">
        <f>IF(G118&lt;=0,0,MIN(G118+H118,Calculator!$C$15))</f>
        <v/>
      </c>
      <c r="J118" s="29">
        <f>MAX(0,G118+H118-I118)</f>
        <v/>
      </c>
    </row>
    <row r="119">
      <c r="A119" s="30" t="n">
        <v>112</v>
      </c>
      <c r="B119" s="31">
        <f>EDATE(Calculator!$C$12,111)</f>
        <v/>
      </c>
      <c r="C119" s="32">
        <f>F118</f>
        <v/>
      </c>
      <c r="D119" s="33">
        <f>IF(C119&gt;0,C119*Calculator!$C$8/100/12,0)</f>
        <v/>
      </c>
      <c r="E119" s="32">
        <f>IF(C119&lt;=0,0,MIN(C119+D119,Calculator!$C$14))</f>
        <v/>
      </c>
      <c r="F119" s="34">
        <f>MAX(0,C119+D119-E119)</f>
        <v/>
      </c>
      <c r="G119" s="32">
        <f>J118</f>
        <v/>
      </c>
      <c r="H119" s="33">
        <f>IF(G119&gt;0,G119*Calculator!$C$8/100/12,0)</f>
        <v/>
      </c>
      <c r="I119" s="32">
        <f>IF(G119&lt;=0,0,MIN(G119+H119,Calculator!$C$15))</f>
        <v/>
      </c>
      <c r="J119" s="34">
        <f>MAX(0,G119+H119-I119)</f>
        <v/>
      </c>
    </row>
    <row r="120">
      <c r="A120" s="25" t="n">
        <v>113</v>
      </c>
      <c r="B120" s="26">
        <f>EDATE(Calculator!$C$12,112)</f>
        <v/>
      </c>
      <c r="C120" s="27">
        <f>F119</f>
        <v/>
      </c>
      <c r="D120" s="28">
        <f>IF(C120&gt;0,C120*Calculator!$C$8/100/12,0)</f>
        <v/>
      </c>
      <c r="E120" s="27">
        <f>IF(C120&lt;=0,0,MIN(C120+D120,Calculator!$C$14))</f>
        <v/>
      </c>
      <c r="F120" s="29">
        <f>MAX(0,C120+D120-E120)</f>
        <v/>
      </c>
      <c r="G120" s="27">
        <f>J119</f>
        <v/>
      </c>
      <c r="H120" s="28">
        <f>IF(G120&gt;0,G120*Calculator!$C$8/100/12,0)</f>
        <v/>
      </c>
      <c r="I120" s="27">
        <f>IF(G120&lt;=0,0,MIN(G120+H120,Calculator!$C$15))</f>
        <v/>
      </c>
      <c r="J120" s="29">
        <f>MAX(0,G120+H120-I120)</f>
        <v/>
      </c>
    </row>
    <row r="121">
      <c r="A121" s="30" t="n">
        <v>114</v>
      </c>
      <c r="B121" s="31">
        <f>EDATE(Calculator!$C$12,113)</f>
        <v/>
      </c>
      <c r="C121" s="32">
        <f>F120</f>
        <v/>
      </c>
      <c r="D121" s="33">
        <f>IF(C121&gt;0,C121*Calculator!$C$8/100/12,0)</f>
        <v/>
      </c>
      <c r="E121" s="32">
        <f>IF(C121&lt;=0,0,MIN(C121+D121,Calculator!$C$14))</f>
        <v/>
      </c>
      <c r="F121" s="34">
        <f>MAX(0,C121+D121-E121)</f>
        <v/>
      </c>
      <c r="G121" s="32">
        <f>J120</f>
        <v/>
      </c>
      <c r="H121" s="33">
        <f>IF(G121&gt;0,G121*Calculator!$C$8/100/12,0)</f>
        <v/>
      </c>
      <c r="I121" s="32">
        <f>IF(G121&lt;=0,0,MIN(G121+H121,Calculator!$C$15))</f>
        <v/>
      </c>
      <c r="J121" s="34">
        <f>MAX(0,G121+H121-I121)</f>
        <v/>
      </c>
    </row>
    <row r="122">
      <c r="A122" s="25" t="n">
        <v>115</v>
      </c>
      <c r="B122" s="26">
        <f>EDATE(Calculator!$C$12,114)</f>
        <v/>
      </c>
      <c r="C122" s="27">
        <f>F121</f>
        <v/>
      </c>
      <c r="D122" s="28">
        <f>IF(C122&gt;0,C122*Calculator!$C$8/100/12,0)</f>
        <v/>
      </c>
      <c r="E122" s="27">
        <f>IF(C122&lt;=0,0,MIN(C122+D122,Calculator!$C$14))</f>
        <v/>
      </c>
      <c r="F122" s="29">
        <f>MAX(0,C122+D122-E122)</f>
        <v/>
      </c>
      <c r="G122" s="27">
        <f>J121</f>
        <v/>
      </c>
      <c r="H122" s="28">
        <f>IF(G122&gt;0,G122*Calculator!$C$8/100/12,0)</f>
        <v/>
      </c>
      <c r="I122" s="27">
        <f>IF(G122&lt;=0,0,MIN(G122+H122,Calculator!$C$15))</f>
        <v/>
      </c>
      <c r="J122" s="29">
        <f>MAX(0,G122+H122-I122)</f>
        <v/>
      </c>
    </row>
    <row r="123">
      <c r="A123" s="30" t="n">
        <v>116</v>
      </c>
      <c r="B123" s="31">
        <f>EDATE(Calculator!$C$12,115)</f>
        <v/>
      </c>
      <c r="C123" s="32">
        <f>F122</f>
        <v/>
      </c>
      <c r="D123" s="33">
        <f>IF(C123&gt;0,C123*Calculator!$C$8/100/12,0)</f>
        <v/>
      </c>
      <c r="E123" s="32">
        <f>IF(C123&lt;=0,0,MIN(C123+D123,Calculator!$C$14))</f>
        <v/>
      </c>
      <c r="F123" s="34">
        <f>MAX(0,C123+D123-E123)</f>
        <v/>
      </c>
      <c r="G123" s="32">
        <f>J122</f>
        <v/>
      </c>
      <c r="H123" s="33">
        <f>IF(G123&gt;0,G123*Calculator!$C$8/100/12,0)</f>
        <v/>
      </c>
      <c r="I123" s="32">
        <f>IF(G123&lt;=0,0,MIN(G123+H123,Calculator!$C$15))</f>
        <v/>
      </c>
      <c r="J123" s="34">
        <f>MAX(0,G123+H123-I123)</f>
        <v/>
      </c>
    </row>
    <row r="124">
      <c r="A124" s="25" t="n">
        <v>117</v>
      </c>
      <c r="B124" s="26">
        <f>EDATE(Calculator!$C$12,116)</f>
        <v/>
      </c>
      <c r="C124" s="27">
        <f>F123</f>
        <v/>
      </c>
      <c r="D124" s="28">
        <f>IF(C124&gt;0,C124*Calculator!$C$8/100/12,0)</f>
        <v/>
      </c>
      <c r="E124" s="27">
        <f>IF(C124&lt;=0,0,MIN(C124+D124,Calculator!$C$14))</f>
        <v/>
      </c>
      <c r="F124" s="29">
        <f>MAX(0,C124+D124-E124)</f>
        <v/>
      </c>
      <c r="G124" s="27">
        <f>J123</f>
        <v/>
      </c>
      <c r="H124" s="28">
        <f>IF(G124&gt;0,G124*Calculator!$C$8/100/12,0)</f>
        <v/>
      </c>
      <c r="I124" s="27">
        <f>IF(G124&lt;=0,0,MIN(G124+H124,Calculator!$C$15))</f>
        <v/>
      </c>
      <c r="J124" s="29">
        <f>MAX(0,G124+H124-I124)</f>
        <v/>
      </c>
    </row>
    <row r="125">
      <c r="A125" s="30" t="n">
        <v>118</v>
      </c>
      <c r="B125" s="31">
        <f>EDATE(Calculator!$C$12,117)</f>
        <v/>
      </c>
      <c r="C125" s="32">
        <f>F124</f>
        <v/>
      </c>
      <c r="D125" s="33">
        <f>IF(C125&gt;0,C125*Calculator!$C$8/100/12,0)</f>
        <v/>
      </c>
      <c r="E125" s="32">
        <f>IF(C125&lt;=0,0,MIN(C125+D125,Calculator!$C$14))</f>
        <v/>
      </c>
      <c r="F125" s="34">
        <f>MAX(0,C125+D125-E125)</f>
        <v/>
      </c>
      <c r="G125" s="32">
        <f>J124</f>
        <v/>
      </c>
      <c r="H125" s="33">
        <f>IF(G125&gt;0,G125*Calculator!$C$8/100/12,0)</f>
        <v/>
      </c>
      <c r="I125" s="32">
        <f>IF(G125&lt;=0,0,MIN(G125+H125,Calculator!$C$15))</f>
        <v/>
      </c>
      <c r="J125" s="34">
        <f>MAX(0,G125+H125-I125)</f>
        <v/>
      </c>
    </row>
    <row r="126">
      <c r="A126" s="25" t="n">
        <v>119</v>
      </c>
      <c r="B126" s="26">
        <f>EDATE(Calculator!$C$12,118)</f>
        <v/>
      </c>
      <c r="C126" s="27">
        <f>F125</f>
        <v/>
      </c>
      <c r="D126" s="28">
        <f>IF(C126&gt;0,C126*Calculator!$C$8/100/12,0)</f>
        <v/>
      </c>
      <c r="E126" s="27">
        <f>IF(C126&lt;=0,0,MIN(C126+D126,Calculator!$C$14))</f>
        <v/>
      </c>
      <c r="F126" s="29">
        <f>MAX(0,C126+D126-E126)</f>
        <v/>
      </c>
      <c r="G126" s="27">
        <f>J125</f>
        <v/>
      </c>
      <c r="H126" s="28">
        <f>IF(G126&gt;0,G126*Calculator!$C$8/100/12,0)</f>
        <v/>
      </c>
      <c r="I126" s="27">
        <f>IF(G126&lt;=0,0,MIN(G126+H126,Calculator!$C$15))</f>
        <v/>
      </c>
      <c r="J126" s="29">
        <f>MAX(0,G126+H126-I126)</f>
        <v/>
      </c>
    </row>
    <row r="127">
      <c r="A127" s="30" t="n">
        <v>120</v>
      </c>
      <c r="B127" s="31">
        <f>EDATE(Calculator!$C$12,119)</f>
        <v/>
      </c>
      <c r="C127" s="32">
        <f>F126</f>
        <v/>
      </c>
      <c r="D127" s="33">
        <f>IF(C127&gt;0,C127*Calculator!$C$8/100/12,0)</f>
        <v/>
      </c>
      <c r="E127" s="32">
        <f>IF(C127&lt;=0,0,MIN(C127+D127,Calculator!$C$14))</f>
        <v/>
      </c>
      <c r="F127" s="34">
        <f>MAX(0,C127+D127-E127)</f>
        <v/>
      </c>
      <c r="G127" s="32">
        <f>J126</f>
        <v/>
      </c>
      <c r="H127" s="33">
        <f>IF(G127&gt;0,G127*Calculator!$C$8/100/12,0)</f>
        <v/>
      </c>
      <c r="I127" s="32">
        <f>IF(G127&lt;=0,0,MIN(G127+H127,Calculator!$C$15))</f>
        <v/>
      </c>
      <c r="J127" s="34">
        <f>MAX(0,G127+H127-I127)</f>
        <v/>
      </c>
    </row>
    <row r="128">
      <c r="A128" s="25" t="n">
        <v>121</v>
      </c>
      <c r="B128" s="26">
        <f>EDATE(Calculator!$C$12,120)</f>
        <v/>
      </c>
      <c r="C128" s="27">
        <f>F127</f>
        <v/>
      </c>
      <c r="D128" s="28">
        <f>IF(C128&gt;0,C128*Calculator!$C$8/100/12,0)</f>
        <v/>
      </c>
      <c r="E128" s="27">
        <f>IF(C128&lt;=0,0,MIN(C128+D128,Calculator!$C$14))</f>
        <v/>
      </c>
      <c r="F128" s="29">
        <f>MAX(0,C128+D128-E128)</f>
        <v/>
      </c>
      <c r="G128" s="27">
        <f>J127</f>
        <v/>
      </c>
      <c r="H128" s="28">
        <f>IF(G128&gt;0,G128*Calculator!$C$8/100/12,0)</f>
        <v/>
      </c>
      <c r="I128" s="27">
        <f>IF(G128&lt;=0,0,MIN(G128+H128,Calculator!$C$15))</f>
        <v/>
      </c>
      <c r="J128" s="29">
        <f>MAX(0,G128+H128-I128)</f>
        <v/>
      </c>
    </row>
    <row r="129">
      <c r="A129" s="30" t="n">
        <v>122</v>
      </c>
      <c r="B129" s="31">
        <f>EDATE(Calculator!$C$12,121)</f>
        <v/>
      </c>
      <c r="C129" s="32">
        <f>F128</f>
        <v/>
      </c>
      <c r="D129" s="33">
        <f>IF(C129&gt;0,C129*Calculator!$C$8/100/12,0)</f>
        <v/>
      </c>
      <c r="E129" s="32">
        <f>IF(C129&lt;=0,0,MIN(C129+D129,Calculator!$C$14))</f>
        <v/>
      </c>
      <c r="F129" s="34">
        <f>MAX(0,C129+D129-E129)</f>
        <v/>
      </c>
      <c r="G129" s="32">
        <f>J128</f>
        <v/>
      </c>
      <c r="H129" s="33">
        <f>IF(G129&gt;0,G129*Calculator!$C$8/100/12,0)</f>
        <v/>
      </c>
      <c r="I129" s="32">
        <f>IF(G129&lt;=0,0,MIN(G129+H129,Calculator!$C$15))</f>
        <v/>
      </c>
      <c r="J129" s="34">
        <f>MAX(0,G129+H129-I129)</f>
        <v/>
      </c>
    </row>
    <row r="130">
      <c r="A130" s="25" t="n">
        <v>123</v>
      </c>
      <c r="B130" s="26">
        <f>EDATE(Calculator!$C$12,122)</f>
        <v/>
      </c>
      <c r="C130" s="27">
        <f>F129</f>
        <v/>
      </c>
      <c r="D130" s="28">
        <f>IF(C130&gt;0,C130*Calculator!$C$8/100/12,0)</f>
        <v/>
      </c>
      <c r="E130" s="27">
        <f>IF(C130&lt;=0,0,MIN(C130+D130,Calculator!$C$14))</f>
        <v/>
      </c>
      <c r="F130" s="29">
        <f>MAX(0,C130+D130-E130)</f>
        <v/>
      </c>
      <c r="G130" s="27">
        <f>J129</f>
        <v/>
      </c>
      <c r="H130" s="28">
        <f>IF(G130&gt;0,G130*Calculator!$C$8/100/12,0)</f>
        <v/>
      </c>
      <c r="I130" s="27">
        <f>IF(G130&lt;=0,0,MIN(G130+H130,Calculator!$C$15))</f>
        <v/>
      </c>
      <c r="J130" s="29">
        <f>MAX(0,G130+H130-I130)</f>
        <v/>
      </c>
    </row>
    <row r="131">
      <c r="A131" s="30" t="n">
        <v>124</v>
      </c>
      <c r="B131" s="31">
        <f>EDATE(Calculator!$C$12,123)</f>
        <v/>
      </c>
      <c r="C131" s="32">
        <f>F130</f>
        <v/>
      </c>
      <c r="D131" s="33">
        <f>IF(C131&gt;0,C131*Calculator!$C$8/100/12,0)</f>
        <v/>
      </c>
      <c r="E131" s="32">
        <f>IF(C131&lt;=0,0,MIN(C131+D131,Calculator!$C$14))</f>
        <v/>
      </c>
      <c r="F131" s="34">
        <f>MAX(0,C131+D131-E131)</f>
        <v/>
      </c>
      <c r="G131" s="32">
        <f>J130</f>
        <v/>
      </c>
      <c r="H131" s="33">
        <f>IF(G131&gt;0,G131*Calculator!$C$8/100/12,0)</f>
        <v/>
      </c>
      <c r="I131" s="32">
        <f>IF(G131&lt;=0,0,MIN(G131+H131,Calculator!$C$15))</f>
        <v/>
      </c>
      <c r="J131" s="34">
        <f>MAX(0,G131+H131-I131)</f>
        <v/>
      </c>
    </row>
    <row r="132">
      <c r="A132" s="25" t="n">
        <v>125</v>
      </c>
      <c r="B132" s="26">
        <f>EDATE(Calculator!$C$12,124)</f>
        <v/>
      </c>
      <c r="C132" s="27">
        <f>F131</f>
        <v/>
      </c>
      <c r="D132" s="28">
        <f>IF(C132&gt;0,C132*Calculator!$C$8/100/12,0)</f>
        <v/>
      </c>
      <c r="E132" s="27">
        <f>IF(C132&lt;=0,0,MIN(C132+D132,Calculator!$C$14))</f>
        <v/>
      </c>
      <c r="F132" s="29">
        <f>MAX(0,C132+D132-E132)</f>
        <v/>
      </c>
      <c r="G132" s="27">
        <f>J131</f>
        <v/>
      </c>
      <c r="H132" s="28">
        <f>IF(G132&gt;0,G132*Calculator!$C$8/100/12,0)</f>
        <v/>
      </c>
      <c r="I132" s="27">
        <f>IF(G132&lt;=0,0,MIN(G132+H132,Calculator!$C$15))</f>
        <v/>
      </c>
      <c r="J132" s="29">
        <f>MAX(0,G132+H132-I132)</f>
        <v/>
      </c>
    </row>
    <row r="133">
      <c r="A133" s="30" t="n">
        <v>126</v>
      </c>
      <c r="B133" s="31">
        <f>EDATE(Calculator!$C$12,125)</f>
        <v/>
      </c>
      <c r="C133" s="32">
        <f>F132</f>
        <v/>
      </c>
      <c r="D133" s="33">
        <f>IF(C133&gt;0,C133*Calculator!$C$8/100/12,0)</f>
        <v/>
      </c>
      <c r="E133" s="32">
        <f>IF(C133&lt;=0,0,MIN(C133+D133,Calculator!$C$14))</f>
        <v/>
      </c>
      <c r="F133" s="34">
        <f>MAX(0,C133+D133-E133)</f>
        <v/>
      </c>
      <c r="G133" s="32">
        <f>J132</f>
        <v/>
      </c>
      <c r="H133" s="33">
        <f>IF(G133&gt;0,G133*Calculator!$C$8/100/12,0)</f>
        <v/>
      </c>
      <c r="I133" s="32">
        <f>IF(G133&lt;=0,0,MIN(G133+H133,Calculator!$C$15))</f>
        <v/>
      </c>
      <c r="J133" s="34">
        <f>MAX(0,G133+H133-I133)</f>
        <v/>
      </c>
    </row>
    <row r="134">
      <c r="A134" s="25" t="n">
        <v>127</v>
      </c>
      <c r="B134" s="26">
        <f>EDATE(Calculator!$C$12,126)</f>
        <v/>
      </c>
      <c r="C134" s="27">
        <f>F133</f>
        <v/>
      </c>
      <c r="D134" s="28">
        <f>IF(C134&gt;0,C134*Calculator!$C$8/100/12,0)</f>
        <v/>
      </c>
      <c r="E134" s="27">
        <f>IF(C134&lt;=0,0,MIN(C134+D134,Calculator!$C$14))</f>
        <v/>
      </c>
      <c r="F134" s="29">
        <f>MAX(0,C134+D134-E134)</f>
        <v/>
      </c>
      <c r="G134" s="27">
        <f>J133</f>
        <v/>
      </c>
      <c r="H134" s="28">
        <f>IF(G134&gt;0,G134*Calculator!$C$8/100/12,0)</f>
        <v/>
      </c>
      <c r="I134" s="27">
        <f>IF(G134&lt;=0,0,MIN(G134+H134,Calculator!$C$15))</f>
        <v/>
      </c>
      <c r="J134" s="29">
        <f>MAX(0,G134+H134-I134)</f>
        <v/>
      </c>
    </row>
    <row r="135">
      <c r="A135" s="30" t="n">
        <v>128</v>
      </c>
      <c r="B135" s="31">
        <f>EDATE(Calculator!$C$12,127)</f>
        <v/>
      </c>
      <c r="C135" s="32">
        <f>F134</f>
        <v/>
      </c>
      <c r="D135" s="33">
        <f>IF(C135&gt;0,C135*Calculator!$C$8/100/12,0)</f>
        <v/>
      </c>
      <c r="E135" s="32">
        <f>IF(C135&lt;=0,0,MIN(C135+D135,Calculator!$C$14))</f>
        <v/>
      </c>
      <c r="F135" s="34">
        <f>MAX(0,C135+D135-E135)</f>
        <v/>
      </c>
      <c r="G135" s="32">
        <f>J134</f>
        <v/>
      </c>
      <c r="H135" s="33">
        <f>IF(G135&gt;0,G135*Calculator!$C$8/100/12,0)</f>
        <v/>
      </c>
      <c r="I135" s="32">
        <f>IF(G135&lt;=0,0,MIN(G135+H135,Calculator!$C$15))</f>
        <v/>
      </c>
      <c r="J135" s="34">
        <f>MAX(0,G135+H135-I135)</f>
        <v/>
      </c>
    </row>
    <row r="136">
      <c r="A136" s="25" t="n">
        <v>129</v>
      </c>
      <c r="B136" s="26">
        <f>EDATE(Calculator!$C$12,128)</f>
        <v/>
      </c>
      <c r="C136" s="27">
        <f>F135</f>
        <v/>
      </c>
      <c r="D136" s="28">
        <f>IF(C136&gt;0,C136*Calculator!$C$8/100/12,0)</f>
        <v/>
      </c>
      <c r="E136" s="27">
        <f>IF(C136&lt;=0,0,MIN(C136+D136,Calculator!$C$14))</f>
        <v/>
      </c>
      <c r="F136" s="29">
        <f>MAX(0,C136+D136-E136)</f>
        <v/>
      </c>
      <c r="G136" s="27">
        <f>J135</f>
        <v/>
      </c>
      <c r="H136" s="28">
        <f>IF(G136&gt;0,G136*Calculator!$C$8/100/12,0)</f>
        <v/>
      </c>
      <c r="I136" s="27">
        <f>IF(G136&lt;=0,0,MIN(G136+H136,Calculator!$C$15))</f>
        <v/>
      </c>
      <c r="J136" s="29">
        <f>MAX(0,G136+H136-I136)</f>
        <v/>
      </c>
    </row>
    <row r="137">
      <c r="A137" s="30" t="n">
        <v>130</v>
      </c>
      <c r="B137" s="31">
        <f>EDATE(Calculator!$C$12,129)</f>
        <v/>
      </c>
      <c r="C137" s="32">
        <f>F136</f>
        <v/>
      </c>
      <c r="D137" s="33">
        <f>IF(C137&gt;0,C137*Calculator!$C$8/100/12,0)</f>
        <v/>
      </c>
      <c r="E137" s="32">
        <f>IF(C137&lt;=0,0,MIN(C137+D137,Calculator!$C$14))</f>
        <v/>
      </c>
      <c r="F137" s="34">
        <f>MAX(0,C137+D137-E137)</f>
        <v/>
      </c>
      <c r="G137" s="32">
        <f>J136</f>
        <v/>
      </c>
      <c r="H137" s="33">
        <f>IF(G137&gt;0,G137*Calculator!$C$8/100/12,0)</f>
        <v/>
      </c>
      <c r="I137" s="32">
        <f>IF(G137&lt;=0,0,MIN(G137+H137,Calculator!$C$15))</f>
        <v/>
      </c>
      <c r="J137" s="34">
        <f>MAX(0,G137+H137-I137)</f>
        <v/>
      </c>
    </row>
    <row r="138">
      <c r="A138" s="25" t="n">
        <v>131</v>
      </c>
      <c r="B138" s="26">
        <f>EDATE(Calculator!$C$12,130)</f>
        <v/>
      </c>
      <c r="C138" s="27">
        <f>F137</f>
        <v/>
      </c>
      <c r="D138" s="28">
        <f>IF(C138&gt;0,C138*Calculator!$C$8/100/12,0)</f>
        <v/>
      </c>
      <c r="E138" s="27">
        <f>IF(C138&lt;=0,0,MIN(C138+D138,Calculator!$C$14))</f>
        <v/>
      </c>
      <c r="F138" s="29">
        <f>MAX(0,C138+D138-E138)</f>
        <v/>
      </c>
      <c r="G138" s="27">
        <f>J137</f>
        <v/>
      </c>
      <c r="H138" s="28">
        <f>IF(G138&gt;0,G138*Calculator!$C$8/100/12,0)</f>
        <v/>
      </c>
      <c r="I138" s="27">
        <f>IF(G138&lt;=0,0,MIN(G138+H138,Calculator!$C$15))</f>
        <v/>
      </c>
      <c r="J138" s="29">
        <f>MAX(0,G138+H138-I138)</f>
        <v/>
      </c>
    </row>
    <row r="139">
      <c r="A139" s="30" t="n">
        <v>132</v>
      </c>
      <c r="B139" s="31">
        <f>EDATE(Calculator!$C$12,131)</f>
        <v/>
      </c>
      <c r="C139" s="32">
        <f>F138</f>
        <v/>
      </c>
      <c r="D139" s="33">
        <f>IF(C139&gt;0,C139*Calculator!$C$8/100/12,0)</f>
        <v/>
      </c>
      <c r="E139" s="32">
        <f>IF(C139&lt;=0,0,MIN(C139+D139,Calculator!$C$14))</f>
        <v/>
      </c>
      <c r="F139" s="34">
        <f>MAX(0,C139+D139-E139)</f>
        <v/>
      </c>
      <c r="G139" s="32">
        <f>J138</f>
        <v/>
      </c>
      <c r="H139" s="33">
        <f>IF(G139&gt;0,G139*Calculator!$C$8/100/12,0)</f>
        <v/>
      </c>
      <c r="I139" s="32">
        <f>IF(G139&lt;=0,0,MIN(G139+H139,Calculator!$C$15))</f>
        <v/>
      </c>
      <c r="J139" s="34">
        <f>MAX(0,G139+H139-I139)</f>
        <v/>
      </c>
    </row>
    <row r="140">
      <c r="A140" s="25" t="n">
        <v>133</v>
      </c>
      <c r="B140" s="26">
        <f>EDATE(Calculator!$C$12,132)</f>
        <v/>
      </c>
      <c r="C140" s="27">
        <f>F139</f>
        <v/>
      </c>
      <c r="D140" s="28">
        <f>IF(C140&gt;0,C140*Calculator!$C$8/100/12,0)</f>
        <v/>
      </c>
      <c r="E140" s="27">
        <f>IF(C140&lt;=0,0,MIN(C140+D140,Calculator!$C$14))</f>
        <v/>
      </c>
      <c r="F140" s="29">
        <f>MAX(0,C140+D140-E140)</f>
        <v/>
      </c>
      <c r="G140" s="27">
        <f>J139</f>
        <v/>
      </c>
      <c r="H140" s="28">
        <f>IF(G140&gt;0,G140*Calculator!$C$8/100/12,0)</f>
        <v/>
      </c>
      <c r="I140" s="27">
        <f>IF(G140&lt;=0,0,MIN(G140+H140,Calculator!$C$15))</f>
        <v/>
      </c>
      <c r="J140" s="29">
        <f>MAX(0,G140+H140-I140)</f>
        <v/>
      </c>
    </row>
    <row r="141">
      <c r="A141" s="30" t="n">
        <v>134</v>
      </c>
      <c r="B141" s="31">
        <f>EDATE(Calculator!$C$12,133)</f>
        <v/>
      </c>
      <c r="C141" s="32">
        <f>F140</f>
        <v/>
      </c>
      <c r="D141" s="33">
        <f>IF(C141&gt;0,C141*Calculator!$C$8/100/12,0)</f>
        <v/>
      </c>
      <c r="E141" s="32">
        <f>IF(C141&lt;=0,0,MIN(C141+D141,Calculator!$C$14))</f>
        <v/>
      </c>
      <c r="F141" s="34">
        <f>MAX(0,C141+D141-E141)</f>
        <v/>
      </c>
      <c r="G141" s="32">
        <f>J140</f>
        <v/>
      </c>
      <c r="H141" s="33">
        <f>IF(G141&gt;0,G141*Calculator!$C$8/100/12,0)</f>
        <v/>
      </c>
      <c r="I141" s="32">
        <f>IF(G141&lt;=0,0,MIN(G141+H141,Calculator!$C$15))</f>
        <v/>
      </c>
      <c r="J141" s="34">
        <f>MAX(0,G141+H141-I141)</f>
        <v/>
      </c>
    </row>
    <row r="142">
      <c r="A142" s="25" t="n">
        <v>135</v>
      </c>
      <c r="B142" s="26">
        <f>EDATE(Calculator!$C$12,134)</f>
        <v/>
      </c>
      <c r="C142" s="27">
        <f>F141</f>
        <v/>
      </c>
      <c r="D142" s="28">
        <f>IF(C142&gt;0,C142*Calculator!$C$8/100/12,0)</f>
        <v/>
      </c>
      <c r="E142" s="27">
        <f>IF(C142&lt;=0,0,MIN(C142+D142,Calculator!$C$14))</f>
        <v/>
      </c>
      <c r="F142" s="29">
        <f>MAX(0,C142+D142-E142)</f>
        <v/>
      </c>
      <c r="G142" s="27">
        <f>J141</f>
        <v/>
      </c>
      <c r="H142" s="28">
        <f>IF(G142&gt;0,G142*Calculator!$C$8/100/12,0)</f>
        <v/>
      </c>
      <c r="I142" s="27">
        <f>IF(G142&lt;=0,0,MIN(G142+H142,Calculator!$C$15))</f>
        <v/>
      </c>
      <c r="J142" s="29">
        <f>MAX(0,G142+H142-I142)</f>
        <v/>
      </c>
    </row>
    <row r="143">
      <c r="A143" s="30" t="n">
        <v>136</v>
      </c>
      <c r="B143" s="31">
        <f>EDATE(Calculator!$C$12,135)</f>
        <v/>
      </c>
      <c r="C143" s="32">
        <f>F142</f>
        <v/>
      </c>
      <c r="D143" s="33">
        <f>IF(C143&gt;0,C143*Calculator!$C$8/100/12,0)</f>
        <v/>
      </c>
      <c r="E143" s="32">
        <f>IF(C143&lt;=0,0,MIN(C143+D143,Calculator!$C$14))</f>
        <v/>
      </c>
      <c r="F143" s="34">
        <f>MAX(0,C143+D143-E143)</f>
        <v/>
      </c>
      <c r="G143" s="32">
        <f>J142</f>
        <v/>
      </c>
      <c r="H143" s="33">
        <f>IF(G143&gt;0,G143*Calculator!$C$8/100/12,0)</f>
        <v/>
      </c>
      <c r="I143" s="32">
        <f>IF(G143&lt;=0,0,MIN(G143+H143,Calculator!$C$15))</f>
        <v/>
      </c>
      <c r="J143" s="34">
        <f>MAX(0,G143+H143-I143)</f>
        <v/>
      </c>
    </row>
    <row r="144">
      <c r="A144" s="25" t="n">
        <v>137</v>
      </c>
      <c r="B144" s="26">
        <f>EDATE(Calculator!$C$12,136)</f>
        <v/>
      </c>
      <c r="C144" s="27">
        <f>F143</f>
        <v/>
      </c>
      <c r="D144" s="28">
        <f>IF(C144&gt;0,C144*Calculator!$C$8/100/12,0)</f>
        <v/>
      </c>
      <c r="E144" s="27">
        <f>IF(C144&lt;=0,0,MIN(C144+D144,Calculator!$C$14))</f>
        <v/>
      </c>
      <c r="F144" s="29">
        <f>MAX(0,C144+D144-E144)</f>
        <v/>
      </c>
      <c r="G144" s="27">
        <f>J143</f>
        <v/>
      </c>
      <c r="H144" s="28">
        <f>IF(G144&gt;0,G144*Calculator!$C$8/100/12,0)</f>
        <v/>
      </c>
      <c r="I144" s="27">
        <f>IF(G144&lt;=0,0,MIN(G144+H144,Calculator!$C$15))</f>
        <v/>
      </c>
      <c r="J144" s="29">
        <f>MAX(0,G144+H144-I144)</f>
        <v/>
      </c>
    </row>
    <row r="145">
      <c r="A145" s="30" t="n">
        <v>138</v>
      </c>
      <c r="B145" s="31">
        <f>EDATE(Calculator!$C$12,137)</f>
        <v/>
      </c>
      <c r="C145" s="32">
        <f>F144</f>
        <v/>
      </c>
      <c r="D145" s="33">
        <f>IF(C145&gt;0,C145*Calculator!$C$8/100/12,0)</f>
        <v/>
      </c>
      <c r="E145" s="32">
        <f>IF(C145&lt;=0,0,MIN(C145+D145,Calculator!$C$14))</f>
        <v/>
      </c>
      <c r="F145" s="34">
        <f>MAX(0,C145+D145-E145)</f>
        <v/>
      </c>
      <c r="G145" s="32">
        <f>J144</f>
        <v/>
      </c>
      <c r="H145" s="33">
        <f>IF(G145&gt;0,G145*Calculator!$C$8/100/12,0)</f>
        <v/>
      </c>
      <c r="I145" s="32">
        <f>IF(G145&lt;=0,0,MIN(G145+H145,Calculator!$C$15))</f>
        <v/>
      </c>
      <c r="J145" s="34">
        <f>MAX(0,G145+H145-I145)</f>
        <v/>
      </c>
    </row>
    <row r="146">
      <c r="A146" s="25" t="n">
        <v>139</v>
      </c>
      <c r="B146" s="26">
        <f>EDATE(Calculator!$C$12,138)</f>
        <v/>
      </c>
      <c r="C146" s="27">
        <f>F145</f>
        <v/>
      </c>
      <c r="D146" s="28">
        <f>IF(C146&gt;0,C146*Calculator!$C$8/100/12,0)</f>
        <v/>
      </c>
      <c r="E146" s="27">
        <f>IF(C146&lt;=0,0,MIN(C146+D146,Calculator!$C$14))</f>
        <v/>
      </c>
      <c r="F146" s="29">
        <f>MAX(0,C146+D146-E146)</f>
        <v/>
      </c>
      <c r="G146" s="27">
        <f>J145</f>
        <v/>
      </c>
      <c r="H146" s="28">
        <f>IF(G146&gt;0,G146*Calculator!$C$8/100/12,0)</f>
        <v/>
      </c>
      <c r="I146" s="27">
        <f>IF(G146&lt;=0,0,MIN(G146+H146,Calculator!$C$15))</f>
        <v/>
      </c>
      <c r="J146" s="29">
        <f>MAX(0,G146+H146-I146)</f>
        <v/>
      </c>
    </row>
    <row r="147">
      <c r="A147" s="30" t="n">
        <v>140</v>
      </c>
      <c r="B147" s="31">
        <f>EDATE(Calculator!$C$12,139)</f>
        <v/>
      </c>
      <c r="C147" s="32">
        <f>F146</f>
        <v/>
      </c>
      <c r="D147" s="33">
        <f>IF(C147&gt;0,C147*Calculator!$C$8/100/12,0)</f>
        <v/>
      </c>
      <c r="E147" s="32">
        <f>IF(C147&lt;=0,0,MIN(C147+D147,Calculator!$C$14))</f>
        <v/>
      </c>
      <c r="F147" s="34">
        <f>MAX(0,C147+D147-E147)</f>
        <v/>
      </c>
      <c r="G147" s="32">
        <f>J146</f>
        <v/>
      </c>
      <c r="H147" s="33">
        <f>IF(G147&gt;0,G147*Calculator!$C$8/100/12,0)</f>
        <v/>
      </c>
      <c r="I147" s="32">
        <f>IF(G147&lt;=0,0,MIN(G147+H147,Calculator!$C$15))</f>
        <v/>
      </c>
      <c r="J147" s="34">
        <f>MAX(0,G147+H147-I147)</f>
        <v/>
      </c>
    </row>
    <row r="148">
      <c r="A148" s="25" t="n">
        <v>141</v>
      </c>
      <c r="B148" s="26">
        <f>EDATE(Calculator!$C$12,140)</f>
        <v/>
      </c>
      <c r="C148" s="27">
        <f>F147</f>
        <v/>
      </c>
      <c r="D148" s="28">
        <f>IF(C148&gt;0,C148*Calculator!$C$8/100/12,0)</f>
        <v/>
      </c>
      <c r="E148" s="27">
        <f>IF(C148&lt;=0,0,MIN(C148+D148,Calculator!$C$14))</f>
        <v/>
      </c>
      <c r="F148" s="29">
        <f>MAX(0,C148+D148-E148)</f>
        <v/>
      </c>
      <c r="G148" s="27">
        <f>J147</f>
        <v/>
      </c>
      <c r="H148" s="28">
        <f>IF(G148&gt;0,G148*Calculator!$C$8/100/12,0)</f>
        <v/>
      </c>
      <c r="I148" s="27">
        <f>IF(G148&lt;=0,0,MIN(G148+H148,Calculator!$C$15))</f>
        <v/>
      </c>
      <c r="J148" s="29">
        <f>MAX(0,G148+H148-I148)</f>
        <v/>
      </c>
    </row>
    <row r="149">
      <c r="A149" s="30" t="n">
        <v>142</v>
      </c>
      <c r="B149" s="31">
        <f>EDATE(Calculator!$C$12,141)</f>
        <v/>
      </c>
      <c r="C149" s="32">
        <f>F148</f>
        <v/>
      </c>
      <c r="D149" s="33">
        <f>IF(C149&gt;0,C149*Calculator!$C$8/100/12,0)</f>
        <v/>
      </c>
      <c r="E149" s="32">
        <f>IF(C149&lt;=0,0,MIN(C149+D149,Calculator!$C$14))</f>
        <v/>
      </c>
      <c r="F149" s="34">
        <f>MAX(0,C149+D149-E149)</f>
        <v/>
      </c>
      <c r="G149" s="32">
        <f>J148</f>
        <v/>
      </c>
      <c r="H149" s="33">
        <f>IF(G149&gt;0,G149*Calculator!$C$8/100/12,0)</f>
        <v/>
      </c>
      <c r="I149" s="32">
        <f>IF(G149&lt;=0,0,MIN(G149+H149,Calculator!$C$15))</f>
        <v/>
      </c>
      <c r="J149" s="34">
        <f>MAX(0,G149+H149-I149)</f>
        <v/>
      </c>
    </row>
    <row r="150">
      <c r="A150" s="25" t="n">
        <v>143</v>
      </c>
      <c r="B150" s="26">
        <f>EDATE(Calculator!$C$12,142)</f>
        <v/>
      </c>
      <c r="C150" s="27">
        <f>F149</f>
        <v/>
      </c>
      <c r="D150" s="28">
        <f>IF(C150&gt;0,C150*Calculator!$C$8/100/12,0)</f>
        <v/>
      </c>
      <c r="E150" s="27">
        <f>IF(C150&lt;=0,0,MIN(C150+D150,Calculator!$C$14))</f>
        <v/>
      </c>
      <c r="F150" s="29">
        <f>MAX(0,C150+D150-E150)</f>
        <v/>
      </c>
      <c r="G150" s="27">
        <f>J149</f>
        <v/>
      </c>
      <c r="H150" s="28">
        <f>IF(G150&gt;0,G150*Calculator!$C$8/100/12,0)</f>
        <v/>
      </c>
      <c r="I150" s="27">
        <f>IF(G150&lt;=0,0,MIN(G150+H150,Calculator!$C$15))</f>
        <v/>
      </c>
      <c r="J150" s="29">
        <f>MAX(0,G150+H150-I150)</f>
        <v/>
      </c>
    </row>
    <row r="151">
      <c r="A151" s="30" t="n">
        <v>144</v>
      </c>
      <c r="B151" s="31">
        <f>EDATE(Calculator!$C$12,143)</f>
        <v/>
      </c>
      <c r="C151" s="32">
        <f>F150</f>
        <v/>
      </c>
      <c r="D151" s="33">
        <f>IF(C151&gt;0,C151*Calculator!$C$8/100/12,0)</f>
        <v/>
      </c>
      <c r="E151" s="32">
        <f>IF(C151&lt;=0,0,MIN(C151+D151,Calculator!$C$14))</f>
        <v/>
      </c>
      <c r="F151" s="34">
        <f>MAX(0,C151+D151-E151)</f>
        <v/>
      </c>
      <c r="G151" s="32">
        <f>J150</f>
        <v/>
      </c>
      <c r="H151" s="33">
        <f>IF(G151&gt;0,G151*Calculator!$C$8/100/12,0)</f>
        <v/>
      </c>
      <c r="I151" s="32">
        <f>IF(G151&lt;=0,0,MIN(G151+H151,Calculator!$C$15))</f>
        <v/>
      </c>
      <c r="J151" s="34">
        <f>MAX(0,G151+H151-I151)</f>
        <v/>
      </c>
    </row>
    <row r="152">
      <c r="A152" s="25" t="n">
        <v>145</v>
      </c>
      <c r="B152" s="26">
        <f>EDATE(Calculator!$C$12,144)</f>
        <v/>
      </c>
      <c r="C152" s="27">
        <f>F151</f>
        <v/>
      </c>
      <c r="D152" s="28">
        <f>IF(C152&gt;0,C152*Calculator!$C$8/100/12,0)</f>
        <v/>
      </c>
      <c r="E152" s="27">
        <f>IF(C152&lt;=0,0,MIN(C152+D152,Calculator!$C$14))</f>
        <v/>
      </c>
      <c r="F152" s="29">
        <f>MAX(0,C152+D152-E152)</f>
        <v/>
      </c>
      <c r="G152" s="27">
        <f>J151</f>
        <v/>
      </c>
      <c r="H152" s="28">
        <f>IF(G152&gt;0,G152*Calculator!$C$8/100/12,0)</f>
        <v/>
      </c>
      <c r="I152" s="27">
        <f>IF(G152&lt;=0,0,MIN(G152+H152,Calculator!$C$15))</f>
        <v/>
      </c>
      <c r="J152" s="29">
        <f>MAX(0,G152+H152-I152)</f>
        <v/>
      </c>
    </row>
    <row r="153">
      <c r="A153" s="30" t="n">
        <v>146</v>
      </c>
      <c r="B153" s="31">
        <f>EDATE(Calculator!$C$12,145)</f>
        <v/>
      </c>
      <c r="C153" s="32">
        <f>F152</f>
        <v/>
      </c>
      <c r="D153" s="33">
        <f>IF(C153&gt;0,C153*Calculator!$C$8/100/12,0)</f>
        <v/>
      </c>
      <c r="E153" s="32">
        <f>IF(C153&lt;=0,0,MIN(C153+D153,Calculator!$C$14))</f>
        <v/>
      </c>
      <c r="F153" s="34">
        <f>MAX(0,C153+D153-E153)</f>
        <v/>
      </c>
      <c r="G153" s="32">
        <f>J152</f>
        <v/>
      </c>
      <c r="H153" s="33">
        <f>IF(G153&gt;0,G153*Calculator!$C$8/100/12,0)</f>
        <v/>
      </c>
      <c r="I153" s="32">
        <f>IF(G153&lt;=0,0,MIN(G153+H153,Calculator!$C$15))</f>
        <v/>
      </c>
      <c r="J153" s="34">
        <f>MAX(0,G153+H153-I153)</f>
        <v/>
      </c>
    </row>
    <row r="154">
      <c r="A154" s="25" t="n">
        <v>147</v>
      </c>
      <c r="B154" s="26">
        <f>EDATE(Calculator!$C$12,146)</f>
        <v/>
      </c>
      <c r="C154" s="27">
        <f>F153</f>
        <v/>
      </c>
      <c r="D154" s="28">
        <f>IF(C154&gt;0,C154*Calculator!$C$8/100/12,0)</f>
        <v/>
      </c>
      <c r="E154" s="27">
        <f>IF(C154&lt;=0,0,MIN(C154+D154,Calculator!$C$14))</f>
        <v/>
      </c>
      <c r="F154" s="29">
        <f>MAX(0,C154+D154-E154)</f>
        <v/>
      </c>
      <c r="G154" s="27">
        <f>J153</f>
        <v/>
      </c>
      <c r="H154" s="28">
        <f>IF(G154&gt;0,G154*Calculator!$C$8/100/12,0)</f>
        <v/>
      </c>
      <c r="I154" s="27">
        <f>IF(G154&lt;=0,0,MIN(G154+H154,Calculator!$C$15))</f>
        <v/>
      </c>
      <c r="J154" s="29">
        <f>MAX(0,G154+H154-I154)</f>
        <v/>
      </c>
    </row>
    <row r="155">
      <c r="A155" s="30" t="n">
        <v>148</v>
      </c>
      <c r="B155" s="31">
        <f>EDATE(Calculator!$C$12,147)</f>
        <v/>
      </c>
      <c r="C155" s="32">
        <f>F154</f>
        <v/>
      </c>
      <c r="D155" s="33">
        <f>IF(C155&gt;0,C155*Calculator!$C$8/100/12,0)</f>
        <v/>
      </c>
      <c r="E155" s="32">
        <f>IF(C155&lt;=0,0,MIN(C155+D155,Calculator!$C$14))</f>
        <v/>
      </c>
      <c r="F155" s="34">
        <f>MAX(0,C155+D155-E155)</f>
        <v/>
      </c>
      <c r="G155" s="32">
        <f>J154</f>
        <v/>
      </c>
      <c r="H155" s="33">
        <f>IF(G155&gt;0,G155*Calculator!$C$8/100/12,0)</f>
        <v/>
      </c>
      <c r="I155" s="32">
        <f>IF(G155&lt;=0,0,MIN(G155+H155,Calculator!$C$15))</f>
        <v/>
      </c>
      <c r="J155" s="34">
        <f>MAX(0,G155+H155-I155)</f>
        <v/>
      </c>
    </row>
    <row r="156">
      <c r="A156" s="25" t="n">
        <v>149</v>
      </c>
      <c r="B156" s="26">
        <f>EDATE(Calculator!$C$12,148)</f>
        <v/>
      </c>
      <c r="C156" s="27">
        <f>F155</f>
        <v/>
      </c>
      <c r="D156" s="28">
        <f>IF(C156&gt;0,C156*Calculator!$C$8/100/12,0)</f>
        <v/>
      </c>
      <c r="E156" s="27">
        <f>IF(C156&lt;=0,0,MIN(C156+D156,Calculator!$C$14))</f>
        <v/>
      </c>
      <c r="F156" s="29">
        <f>MAX(0,C156+D156-E156)</f>
        <v/>
      </c>
      <c r="G156" s="27">
        <f>J155</f>
        <v/>
      </c>
      <c r="H156" s="28">
        <f>IF(G156&gt;0,G156*Calculator!$C$8/100/12,0)</f>
        <v/>
      </c>
      <c r="I156" s="27">
        <f>IF(G156&lt;=0,0,MIN(G156+H156,Calculator!$C$15))</f>
        <v/>
      </c>
      <c r="J156" s="29">
        <f>MAX(0,G156+H156-I156)</f>
        <v/>
      </c>
    </row>
    <row r="157">
      <c r="A157" s="30" t="n">
        <v>150</v>
      </c>
      <c r="B157" s="31">
        <f>EDATE(Calculator!$C$12,149)</f>
        <v/>
      </c>
      <c r="C157" s="32">
        <f>F156</f>
        <v/>
      </c>
      <c r="D157" s="33">
        <f>IF(C157&gt;0,C157*Calculator!$C$8/100/12,0)</f>
        <v/>
      </c>
      <c r="E157" s="32">
        <f>IF(C157&lt;=0,0,MIN(C157+D157,Calculator!$C$14))</f>
        <v/>
      </c>
      <c r="F157" s="34">
        <f>MAX(0,C157+D157-E157)</f>
        <v/>
      </c>
      <c r="G157" s="32">
        <f>J156</f>
        <v/>
      </c>
      <c r="H157" s="33">
        <f>IF(G157&gt;0,G157*Calculator!$C$8/100/12,0)</f>
        <v/>
      </c>
      <c r="I157" s="32">
        <f>IF(G157&lt;=0,0,MIN(G157+H157,Calculator!$C$15))</f>
        <v/>
      </c>
      <c r="J157" s="34">
        <f>MAX(0,G157+H157-I157)</f>
        <v/>
      </c>
    </row>
    <row r="158">
      <c r="A158" s="25" t="n">
        <v>151</v>
      </c>
      <c r="B158" s="26">
        <f>EDATE(Calculator!$C$12,150)</f>
        <v/>
      </c>
      <c r="C158" s="27">
        <f>F157</f>
        <v/>
      </c>
      <c r="D158" s="28">
        <f>IF(C158&gt;0,C158*Calculator!$C$8/100/12,0)</f>
        <v/>
      </c>
      <c r="E158" s="27">
        <f>IF(C158&lt;=0,0,MIN(C158+D158,Calculator!$C$14))</f>
        <v/>
      </c>
      <c r="F158" s="29">
        <f>MAX(0,C158+D158-E158)</f>
        <v/>
      </c>
      <c r="G158" s="27">
        <f>J157</f>
        <v/>
      </c>
      <c r="H158" s="28">
        <f>IF(G158&gt;0,G158*Calculator!$C$8/100/12,0)</f>
        <v/>
      </c>
      <c r="I158" s="27">
        <f>IF(G158&lt;=0,0,MIN(G158+H158,Calculator!$C$15))</f>
        <v/>
      </c>
      <c r="J158" s="29">
        <f>MAX(0,G158+H158-I158)</f>
        <v/>
      </c>
    </row>
    <row r="159">
      <c r="A159" s="30" t="n">
        <v>152</v>
      </c>
      <c r="B159" s="31">
        <f>EDATE(Calculator!$C$12,151)</f>
        <v/>
      </c>
      <c r="C159" s="32">
        <f>F158</f>
        <v/>
      </c>
      <c r="D159" s="33">
        <f>IF(C159&gt;0,C159*Calculator!$C$8/100/12,0)</f>
        <v/>
      </c>
      <c r="E159" s="32">
        <f>IF(C159&lt;=0,0,MIN(C159+D159,Calculator!$C$14))</f>
        <v/>
      </c>
      <c r="F159" s="34">
        <f>MAX(0,C159+D159-E159)</f>
        <v/>
      </c>
      <c r="G159" s="32">
        <f>J158</f>
        <v/>
      </c>
      <c r="H159" s="33">
        <f>IF(G159&gt;0,G159*Calculator!$C$8/100/12,0)</f>
        <v/>
      </c>
      <c r="I159" s="32">
        <f>IF(G159&lt;=0,0,MIN(G159+H159,Calculator!$C$15))</f>
        <v/>
      </c>
      <c r="J159" s="34">
        <f>MAX(0,G159+H159-I159)</f>
        <v/>
      </c>
    </row>
    <row r="160">
      <c r="A160" s="25" t="n">
        <v>153</v>
      </c>
      <c r="B160" s="26">
        <f>EDATE(Calculator!$C$12,152)</f>
        <v/>
      </c>
      <c r="C160" s="27">
        <f>F159</f>
        <v/>
      </c>
      <c r="D160" s="28">
        <f>IF(C160&gt;0,C160*Calculator!$C$8/100/12,0)</f>
        <v/>
      </c>
      <c r="E160" s="27">
        <f>IF(C160&lt;=0,0,MIN(C160+D160,Calculator!$C$14))</f>
        <v/>
      </c>
      <c r="F160" s="29">
        <f>MAX(0,C160+D160-E160)</f>
        <v/>
      </c>
      <c r="G160" s="27">
        <f>J159</f>
        <v/>
      </c>
      <c r="H160" s="28">
        <f>IF(G160&gt;0,G160*Calculator!$C$8/100/12,0)</f>
        <v/>
      </c>
      <c r="I160" s="27">
        <f>IF(G160&lt;=0,0,MIN(G160+H160,Calculator!$C$15))</f>
        <v/>
      </c>
      <c r="J160" s="29">
        <f>MAX(0,G160+H160-I160)</f>
        <v/>
      </c>
    </row>
    <row r="161">
      <c r="A161" s="30" t="n">
        <v>154</v>
      </c>
      <c r="B161" s="31">
        <f>EDATE(Calculator!$C$12,153)</f>
        <v/>
      </c>
      <c r="C161" s="32">
        <f>F160</f>
        <v/>
      </c>
      <c r="D161" s="33">
        <f>IF(C161&gt;0,C161*Calculator!$C$8/100/12,0)</f>
        <v/>
      </c>
      <c r="E161" s="32">
        <f>IF(C161&lt;=0,0,MIN(C161+D161,Calculator!$C$14))</f>
        <v/>
      </c>
      <c r="F161" s="34">
        <f>MAX(0,C161+D161-E161)</f>
        <v/>
      </c>
      <c r="G161" s="32">
        <f>J160</f>
        <v/>
      </c>
      <c r="H161" s="33">
        <f>IF(G161&gt;0,G161*Calculator!$C$8/100/12,0)</f>
        <v/>
      </c>
      <c r="I161" s="32">
        <f>IF(G161&lt;=0,0,MIN(G161+H161,Calculator!$C$15))</f>
        <v/>
      </c>
      <c r="J161" s="34">
        <f>MAX(0,G161+H161-I161)</f>
        <v/>
      </c>
    </row>
    <row r="162">
      <c r="A162" s="25" t="n">
        <v>155</v>
      </c>
      <c r="B162" s="26">
        <f>EDATE(Calculator!$C$12,154)</f>
        <v/>
      </c>
      <c r="C162" s="27">
        <f>F161</f>
        <v/>
      </c>
      <c r="D162" s="28">
        <f>IF(C162&gt;0,C162*Calculator!$C$8/100/12,0)</f>
        <v/>
      </c>
      <c r="E162" s="27">
        <f>IF(C162&lt;=0,0,MIN(C162+D162,Calculator!$C$14))</f>
        <v/>
      </c>
      <c r="F162" s="29">
        <f>MAX(0,C162+D162-E162)</f>
        <v/>
      </c>
      <c r="G162" s="27">
        <f>J161</f>
        <v/>
      </c>
      <c r="H162" s="28">
        <f>IF(G162&gt;0,G162*Calculator!$C$8/100/12,0)</f>
        <v/>
      </c>
      <c r="I162" s="27">
        <f>IF(G162&lt;=0,0,MIN(G162+H162,Calculator!$C$15))</f>
        <v/>
      </c>
      <c r="J162" s="29">
        <f>MAX(0,G162+H162-I162)</f>
        <v/>
      </c>
    </row>
    <row r="163">
      <c r="A163" s="30" t="n">
        <v>156</v>
      </c>
      <c r="B163" s="31">
        <f>EDATE(Calculator!$C$12,155)</f>
        <v/>
      </c>
      <c r="C163" s="32">
        <f>F162</f>
        <v/>
      </c>
      <c r="D163" s="33">
        <f>IF(C163&gt;0,C163*Calculator!$C$8/100/12,0)</f>
        <v/>
      </c>
      <c r="E163" s="32">
        <f>IF(C163&lt;=0,0,MIN(C163+D163,Calculator!$C$14))</f>
        <v/>
      </c>
      <c r="F163" s="34">
        <f>MAX(0,C163+D163-E163)</f>
        <v/>
      </c>
      <c r="G163" s="32">
        <f>J162</f>
        <v/>
      </c>
      <c r="H163" s="33">
        <f>IF(G163&gt;0,G163*Calculator!$C$8/100/12,0)</f>
        <v/>
      </c>
      <c r="I163" s="32">
        <f>IF(G163&lt;=0,0,MIN(G163+H163,Calculator!$C$15))</f>
        <v/>
      </c>
      <c r="J163" s="34">
        <f>MAX(0,G163+H163-I163)</f>
        <v/>
      </c>
    </row>
    <row r="164">
      <c r="A164" s="25" t="n">
        <v>157</v>
      </c>
      <c r="B164" s="26">
        <f>EDATE(Calculator!$C$12,156)</f>
        <v/>
      </c>
      <c r="C164" s="27">
        <f>F163</f>
        <v/>
      </c>
      <c r="D164" s="28">
        <f>IF(C164&gt;0,C164*Calculator!$C$8/100/12,0)</f>
        <v/>
      </c>
      <c r="E164" s="27">
        <f>IF(C164&lt;=0,0,MIN(C164+D164,Calculator!$C$14))</f>
        <v/>
      </c>
      <c r="F164" s="29">
        <f>MAX(0,C164+D164-E164)</f>
        <v/>
      </c>
      <c r="G164" s="27">
        <f>J163</f>
        <v/>
      </c>
      <c r="H164" s="28">
        <f>IF(G164&gt;0,G164*Calculator!$C$8/100/12,0)</f>
        <v/>
      </c>
      <c r="I164" s="27">
        <f>IF(G164&lt;=0,0,MIN(G164+H164,Calculator!$C$15))</f>
        <v/>
      </c>
      <c r="J164" s="29">
        <f>MAX(0,G164+H164-I164)</f>
        <v/>
      </c>
    </row>
    <row r="165">
      <c r="A165" s="30" t="n">
        <v>158</v>
      </c>
      <c r="B165" s="31">
        <f>EDATE(Calculator!$C$12,157)</f>
        <v/>
      </c>
      <c r="C165" s="32">
        <f>F164</f>
        <v/>
      </c>
      <c r="D165" s="33">
        <f>IF(C165&gt;0,C165*Calculator!$C$8/100/12,0)</f>
        <v/>
      </c>
      <c r="E165" s="32">
        <f>IF(C165&lt;=0,0,MIN(C165+D165,Calculator!$C$14))</f>
        <v/>
      </c>
      <c r="F165" s="34">
        <f>MAX(0,C165+D165-E165)</f>
        <v/>
      </c>
      <c r="G165" s="32">
        <f>J164</f>
        <v/>
      </c>
      <c r="H165" s="33">
        <f>IF(G165&gt;0,G165*Calculator!$C$8/100/12,0)</f>
        <v/>
      </c>
      <c r="I165" s="32">
        <f>IF(G165&lt;=0,0,MIN(G165+H165,Calculator!$C$15))</f>
        <v/>
      </c>
      <c r="J165" s="34">
        <f>MAX(0,G165+H165-I165)</f>
        <v/>
      </c>
    </row>
    <row r="166">
      <c r="A166" s="25" t="n">
        <v>159</v>
      </c>
      <c r="B166" s="26">
        <f>EDATE(Calculator!$C$12,158)</f>
        <v/>
      </c>
      <c r="C166" s="27">
        <f>F165</f>
        <v/>
      </c>
      <c r="D166" s="28">
        <f>IF(C166&gt;0,C166*Calculator!$C$8/100/12,0)</f>
        <v/>
      </c>
      <c r="E166" s="27">
        <f>IF(C166&lt;=0,0,MIN(C166+D166,Calculator!$C$14))</f>
        <v/>
      </c>
      <c r="F166" s="29">
        <f>MAX(0,C166+D166-E166)</f>
        <v/>
      </c>
      <c r="G166" s="27">
        <f>J165</f>
        <v/>
      </c>
      <c r="H166" s="28">
        <f>IF(G166&gt;0,G166*Calculator!$C$8/100/12,0)</f>
        <v/>
      </c>
      <c r="I166" s="27">
        <f>IF(G166&lt;=0,0,MIN(G166+H166,Calculator!$C$15))</f>
        <v/>
      </c>
      <c r="J166" s="29">
        <f>MAX(0,G166+H166-I166)</f>
        <v/>
      </c>
    </row>
    <row r="167">
      <c r="A167" s="30" t="n">
        <v>160</v>
      </c>
      <c r="B167" s="31">
        <f>EDATE(Calculator!$C$12,159)</f>
        <v/>
      </c>
      <c r="C167" s="32">
        <f>F166</f>
        <v/>
      </c>
      <c r="D167" s="33">
        <f>IF(C167&gt;0,C167*Calculator!$C$8/100/12,0)</f>
        <v/>
      </c>
      <c r="E167" s="32">
        <f>IF(C167&lt;=0,0,MIN(C167+D167,Calculator!$C$14))</f>
        <v/>
      </c>
      <c r="F167" s="34">
        <f>MAX(0,C167+D167-E167)</f>
        <v/>
      </c>
      <c r="G167" s="32">
        <f>J166</f>
        <v/>
      </c>
      <c r="H167" s="33">
        <f>IF(G167&gt;0,G167*Calculator!$C$8/100/12,0)</f>
        <v/>
      </c>
      <c r="I167" s="32">
        <f>IF(G167&lt;=0,0,MIN(G167+H167,Calculator!$C$15))</f>
        <v/>
      </c>
      <c r="J167" s="34">
        <f>MAX(0,G167+H167-I167)</f>
        <v/>
      </c>
    </row>
    <row r="168">
      <c r="A168" s="25" t="n">
        <v>161</v>
      </c>
      <c r="B168" s="26">
        <f>EDATE(Calculator!$C$12,160)</f>
        <v/>
      </c>
      <c r="C168" s="27">
        <f>F167</f>
        <v/>
      </c>
      <c r="D168" s="28">
        <f>IF(C168&gt;0,C168*Calculator!$C$8/100/12,0)</f>
        <v/>
      </c>
      <c r="E168" s="27">
        <f>IF(C168&lt;=0,0,MIN(C168+D168,Calculator!$C$14))</f>
        <v/>
      </c>
      <c r="F168" s="29">
        <f>MAX(0,C168+D168-E168)</f>
        <v/>
      </c>
      <c r="G168" s="27">
        <f>J167</f>
        <v/>
      </c>
      <c r="H168" s="28">
        <f>IF(G168&gt;0,G168*Calculator!$C$8/100/12,0)</f>
        <v/>
      </c>
      <c r="I168" s="27">
        <f>IF(G168&lt;=0,0,MIN(G168+H168,Calculator!$C$15))</f>
        <v/>
      </c>
      <c r="J168" s="29">
        <f>MAX(0,G168+H168-I168)</f>
        <v/>
      </c>
    </row>
    <row r="169">
      <c r="A169" s="30" t="n">
        <v>162</v>
      </c>
      <c r="B169" s="31">
        <f>EDATE(Calculator!$C$12,161)</f>
        <v/>
      </c>
      <c r="C169" s="32">
        <f>F168</f>
        <v/>
      </c>
      <c r="D169" s="33">
        <f>IF(C169&gt;0,C169*Calculator!$C$8/100/12,0)</f>
        <v/>
      </c>
      <c r="E169" s="32">
        <f>IF(C169&lt;=0,0,MIN(C169+D169,Calculator!$C$14))</f>
        <v/>
      </c>
      <c r="F169" s="34">
        <f>MAX(0,C169+D169-E169)</f>
        <v/>
      </c>
      <c r="G169" s="32">
        <f>J168</f>
        <v/>
      </c>
      <c r="H169" s="33">
        <f>IF(G169&gt;0,G169*Calculator!$C$8/100/12,0)</f>
        <v/>
      </c>
      <c r="I169" s="32">
        <f>IF(G169&lt;=0,0,MIN(G169+H169,Calculator!$C$15))</f>
        <v/>
      </c>
      <c r="J169" s="34">
        <f>MAX(0,G169+H169-I169)</f>
        <v/>
      </c>
    </row>
    <row r="170">
      <c r="A170" s="25" t="n">
        <v>163</v>
      </c>
      <c r="B170" s="26">
        <f>EDATE(Calculator!$C$12,162)</f>
        <v/>
      </c>
      <c r="C170" s="27">
        <f>F169</f>
        <v/>
      </c>
      <c r="D170" s="28">
        <f>IF(C170&gt;0,C170*Calculator!$C$8/100/12,0)</f>
        <v/>
      </c>
      <c r="E170" s="27">
        <f>IF(C170&lt;=0,0,MIN(C170+D170,Calculator!$C$14))</f>
        <v/>
      </c>
      <c r="F170" s="29">
        <f>MAX(0,C170+D170-E170)</f>
        <v/>
      </c>
      <c r="G170" s="27">
        <f>J169</f>
        <v/>
      </c>
      <c r="H170" s="28">
        <f>IF(G170&gt;0,G170*Calculator!$C$8/100/12,0)</f>
        <v/>
      </c>
      <c r="I170" s="27">
        <f>IF(G170&lt;=0,0,MIN(G170+H170,Calculator!$C$15))</f>
        <v/>
      </c>
      <c r="J170" s="29">
        <f>MAX(0,G170+H170-I170)</f>
        <v/>
      </c>
    </row>
    <row r="171">
      <c r="A171" s="30" t="n">
        <v>164</v>
      </c>
      <c r="B171" s="31">
        <f>EDATE(Calculator!$C$12,163)</f>
        <v/>
      </c>
      <c r="C171" s="32">
        <f>F170</f>
        <v/>
      </c>
      <c r="D171" s="33">
        <f>IF(C171&gt;0,C171*Calculator!$C$8/100/12,0)</f>
        <v/>
      </c>
      <c r="E171" s="32">
        <f>IF(C171&lt;=0,0,MIN(C171+D171,Calculator!$C$14))</f>
        <v/>
      </c>
      <c r="F171" s="34">
        <f>MAX(0,C171+D171-E171)</f>
        <v/>
      </c>
      <c r="G171" s="32">
        <f>J170</f>
        <v/>
      </c>
      <c r="H171" s="33">
        <f>IF(G171&gt;0,G171*Calculator!$C$8/100/12,0)</f>
        <v/>
      </c>
      <c r="I171" s="32">
        <f>IF(G171&lt;=0,0,MIN(G171+H171,Calculator!$C$15))</f>
        <v/>
      </c>
      <c r="J171" s="34">
        <f>MAX(0,G171+H171-I171)</f>
        <v/>
      </c>
    </row>
    <row r="172">
      <c r="A172" s="25" t="n">
        <v>165</v>
      </c>
      <c r="B172" s="26">
        <f>EDATE(Calculator!$C$12,164)</f>
        <v/>
      </c>
      <c r="C172" s="27">
        <f>F171</f>
        <v/>
      </c>
      <c r="D172" s="28">
        <f>IF(C172&gt;0,C172*Calculator!$C$8/100/12,0)</f>
        <v/>
      </c>
      <c r="E172" s="27">
        <f>IF(C172&lt;=0,0,MIN(C172+D172,Calculator!$C$14))</f>
        <v/>
      </c>
      <c r="F172" s="29">
        <f>MAX(0,C172+D172-E172)</f>
        <v/>
      </c>
      <c r="G172" s="27">
        <f>J171</f>
        <v/>
      </c>
      <c r="H172" s="28">
        <f>IF(G172&gt;0,G172*Calculator!$C$8/100/12,0)</f>
        <v/>
      </c>
      <c r="I172" s="27">
        <f>IF(G172&lt;=0,0,MIN(G172+H172,Calculator!$C$15))</f>
        <v/>
      </c>
      <c r="J172" s="29">
        <f>MAX(0,G172+H172-I172)</f>
        <v/>
      </c>
    </row>
    <row r="173">
      <c r="A173" s="30" t="n">
        <v>166</v>
      </c>
      <c r="B173" s="31">
        <f>EDATE(Calculator!$C$12,165)</f>
        <v/>
      </c>
      <c r="C173" s="32">
        <f>F172</f>
        <v/>
      </c>
      <c r="D173" s="33">
        <f>IF(C173&gt;0,C173*Calculator!$C$8/100/12,0)</f>
        <v/>
      </c>
      <c r="E173" s="32">
        <f>IF(C173&lt;=0,0,MIN(C173+D173,Calculator!$C$14))</f>
        <v/>
      </c>
      <c r="F173" s="34">
        <f>MAX(0,C173+D173-E173)</f>
        <v/>
      </c>
      <c r="G173" s="32">
        <f>J172</f>
        <v/>
      </c>
      <c r="H173" s="33">
        <f>IF(G173&gt;0,G173*Calculator!$C$8/100/12,0)</f>
        <v/>
      </c>
      <c r="I173" s="32">
        <f>IF(G173&lt;=0,0,MIN(G173+H173,Calculator!$C$15))</f>
        <v/>
      </c>
      <c r="J173" s="34">
        <f>MAX(0,G173+H173-I173)</f>
        <v/>
      </c>
    </row>
    <row r="174">
      <c r="A174" s="25" t="n">
        <v>167</v>
      </c>
      <c r="B174" s="26">
        <f>EDATE(Calculator!$C$12,166)</f>
        <v/>
      </c>
      <c r="C174" s="27">
        <f>F173</f>
        <v/>
      </c>
      <c r="D174" s="28">
        <f>IF(C174&gt;0,C174*Calculator!$C$8/100/12,0)</f>
        <v/>
      </c>
      <c r="E174" s="27">
        <f>IF(C174&lt;=0,0,MIN(C174+D174,Calculator!$C$14))</f>
        <v/>
      </c>
      <c r="F174" s="29">
        <f>MAX(0,C174+D174-E174)</f>
        <v/>
      </c>
      <c r="G174" s="27">
        <f>J173</f>
        <v/>
      </c>
      <c r="H174" s="28">
        <f>IF(G174&gt;0,G174*Calculator!$C$8/100/12,0)</f>
        <v/>
      </c>
      <c r="I174" s="27">
        <f>IF(G174&lt;=0,0,MIN(G174+H174,Calculator!$C$15))</f>
        <v/>
      </c>
      <c r="J174" s="29">
        <f>MAX(0,G174+H174-I174)</f>
        <v/>
      </c>
    </row>
    <row r="175">
      <c r="A175" s="30" t="n">
        <v>168</v>
      </c>
      <c r="B175" s="31">
        <f>EDATE(Calculator!$C$12,167)</f>
        <v/>
      </c>
      <c r="C175" s="32">
        <f>F174</f>
        <v/>
      </c>
      <c r="D175" s="33">
        <f>IF(C175&gt;0,C175*Calculator!$C$8/100/12,0)</f>
        <v/>
      </c>
      <c r="E175" s="32">
        <f>IF(C175&lt;=0,0,MIN(C175+D175,Calculator!$C$14))</f>
        <v/>
      </c>
      <c r="F175" s="34">
        <f>MAX(0,C175+D175-E175)</f>
        <v/>
      </c>
      <c r="G175" s="32">
        <f>J174</f>
        <v/>
      </c>
      <c r="H175" s="33">
        <f>IF(G175&gt;0,G175*Calculator!$C$8/100/12,0)</f>
        <v/>
      </c>
      <c r="I175" s="32">
        <f>IF(G175&lt;=0,0,MIN(G175+H175,Calculator!$C$15))</f>
        <v/>
      </c>
      <c r="J175" s="34">
        <f>MAX(0,G175+H175-I175)</f>
        <v/>
      </c>
    </row>
    <row r="176">
      <c r="A176" s="25" t="n">
        <v>169</v>
      </c>
      <c r="B176" s="26">
        <f>EDATE(Calculator!$C$12,168)</f>
        <v/>
      </c>
      <c r="C176" s="27">
        <f>F175</f>
        <v/>
      </c>
      <c r="D176" s="28">
        <f>IF(C176&gt;0,C176*Calculator!$C$8/100/12,0)</f>
        <v/>
      </c>
      <c r="E176" s="27">
        <f>IF(C176&lt;=0,0,MIN(C176+D176,Calculator!$C$14))</f>
        <v/>
      </c>
      <c r="F176" s="29">
        <f>MAX(0,C176+D176-E176)</f>
        <v/>
      </c>
      <c r="G176" s="27">
        <f>J175</f>
        <v/>
      </c>
      <c r="H176" s="28">
        <f>IF(G176&gt;0,G176*Calculator!$C$8/100/12,0)</f>
        <v/>
      </c>
      <c r="I176" s="27">
        <f>IF(G176&lt;=0,0,MIN(G176+H176,Calculator!$C$15))</f>
        <v/>
      </c>
      <c r="J176" s="29">
        <f>MAX(0,G176+H176-I176)</f>
        <v/>
      </c>
    </row>
    <row r="177">
      <c r="A177" s="30" t="n">
        <v>170</v>
      </c>
      <c r="B177" s="31">
        <f>EDATE(Calculator!$C$12,169)</f>
        <v/>
      </c>
      <c r="C177" s="32">
        <f>F176</f>
        <v/>
      </c>
      <c r="D177" s="33">
        <f>IF(C177&gt;0,C177*Calculator!$C$8/100/12,0)</f>
        <v/>
      </c>
      <c r="E177" s="32">
        <f>IF(C177&lt;=0,0,MIN(C177+D177,Calculator!$C$14))</f>
        <v/>
      </c>
      <c r="F177" s="34">
        <f>MAX(0,C177+D177-E177)</f>
        <v/>
      </c>
      <c r="G177" s="32">
        <f>J176</f>
        <v/>
      </c>
      <c r="H177" s="33">
        <f>IF(G177&gt;0,G177*Calculator!$C$8/100/12,0)</f>
        <v/>
      </c>
      <c r="I177" s="32">
        <f>IF(G177&lt;=0,0,MIN(G177+H177,Calculator!$C$15))</f>
        <v/>
      </c>
      <c r="J177" s="34">
        <f>MAX(0,G177+H177-I177)</f>
        <v/>
      </c>
    </row>
    <row r="178">
      <c r="A178" s="25" t="n">
        <v>171</v>
      </c>
      <c r="B178" s="26">
        <f>EDATE(Calculator!$C$12,170)</f>
        <v/>
      </c>
      <c r="C178" s="27">
        <f>F177</f>
        <v/>
      </c>
      <c r="D178" s="28">
        <f>IF(C178&gt;0,C178*Calculator!$C$8/100/12,0)</f>
        <v/>
      </c>
      <c r="E178" s="27">
        <f>IF(C178&lt;=0,0,MIN(C178+D178,Calculator!$C$14))</f>
        <v/>
      </c>
      <c r="F178" s="29">
        <f>MAX(0,C178+D178-E178)</f>
        <v/>
      </c>
      <c r="G178" s="27">
        <f>J177</f>
        <v/>
      </c>
      <c r="H178" s="28">
        <f>IF(G178&gt;0,G178*Calculator!$C$8/100/12,0)</f>
        <v/>
      </c>
      <c r="I178" s="27">
        <f>IF(G178&lt;=0,0,MIN(G178+H178,Calculator!$C$15))</f>
        <v/>
      </c>
      <c r="J178" s="29">
        <f>MAX(0,G178+H178-I178)</f>
        <v/>
      </c>
    </row>
    <row r="179">
      <c r="A179" s="30" t="n">
        <v>172</v>
      </c>
      <c r="B179" s="31">
        <f>EDATE(Calculator!$C$12,171)</f>
        <v/>
      </c>
      <c r="C179" s="32">
        <f>F178</f>
        <v/>
      </c>
      <c r="D179" s="33">
        <f>IF(C179&gt;0,C179*Calculator!$C$8/100/12,0)</f>
        <v/>
      </c>
      <c r="E179" s="32">
        <f>IF(C179&lt;=0,0,MIN(C179+D179,Calculator!$C$14))</f>
        <v/>
      </c>
      <c r="F179" s="34">
        <f>MAX(0,C179+D179-E179)</f>
        <v/>
      </c>
      <c r="G179" s="32">
        <f>J178</f>
        <v/>
      </c>
      <c r="H179" s="33">
        <f>IF(G179&gt;0,G179*Calculator!$C$8/100/12,0)</f>
        <v/>
      </c>
      <c r="I179" s="32">
        <f>IF(G179&lt;=0,0,MIN(G179+H179,Calculator!$C$15))</f>
        <v/>
      </c>
      <c r="J179" s="34">
        <f>MAX(0,G179+H179-I179)</f>
        <v/>
      </c>
    </row>
    <row r="180">
      <c r="A180" s="25" t="n">
        <v>173</v>
      </c>
      <c r="B180" s="26">
        <f>EDATE(Calculator!$C$12,172)</f>
        <v/>
      </c>
      <c r="C180" s="27">
        <f>F179</f>
        <v/>
      </c>
      <c r="D180" s="28">
        <f>IF(C180&gt;0,C180*Calculator!$C$8/100/12,0)</f>
        <v/>
      </c>
      <c r="E180" s="27">
        <f>IF(C180&lt;=0,0,MIN(C180+D180,Calculator!$C$14))</f>
        <v/>
      </c>
      <c r="F180" s="29">
        <f>MAX(0,C180+D180-E180)</f>
        <v/>
      </c>
      <c r="G180" s="27">
        <f>J179</f>
        <v/>
      </c>
      <c r="H180" s="28">
        <f>IF(G180&gt;0,G180*Calculator!$C$8/100/12,0)</f>
        <v/>
      </c>
      <c r="I180" s="27">
        <f>IF(G180&lt;=0,0,MIN(G180+H180,Calculator!$C$15))</f>
        <v/>
      </c>
      <c r="J180" s="29">
        <f>MAX(0,G180+H180-I180)</f>
        <v/>
      </c>
    </row>
    <row r="181">
      <c r="A181" s="30" t="n">
        <v>174</v>
      </c>
      <c r="B181" s="31">
        <f>EDATE(Calculator!$C$12,173)</f>
        <v/>
      </c>
      <c r="C181" s="32">
        <f>F180</f>
        <v/>
      </c>
      <c r="D181" s="33">
        <f>IF(C181&gt;0,C181*Calculator!$C$8/100/12,0)</f>
        <v/>
      </c>
      <c r="E181" s="32">
        <f>IF(C181&lt;=0,0,MIN(C181+D181,Calculator!$C$14))</f>
        <v/>
      </c>
      <c r="F181" s="34">
        <f>MAX(0,C181+D181-E181)</f>
        <v/>
      </c>
      <c r="G181" s="32">
        <f>J180</f>
        <v/>
      </c>
      <c r="H181" s="33">
        <f>IF(G181&gt;0,G181*Calculator!$C$8/100/12,0)</f>
        <v/>
      </c>
      <c r="I181" s="32">
        <f>IF(G181&lt;=0,0,MIN(G181+H181,Calculator!$C$15))</f>
        <v/>
      </c>
      <c r="J181" s="34">
        <f>MAX(0,G181+H181-I181)</f>
        <v/>
      </c>
    </row>
    <row r="182">
      <c r="A182" s="25" t="n">
        <v>175</v>
      </c>
      <c r="B182" s="26">
        <f>EDATE(Calculator!$C$12,174)</f>
        <v/>
      </c>
      <c r="C182" s="27">
        <f>F181</f>
        <v/>
      </c>
      <c r="D182" s="28">
        <f>IF(C182&gt;0,C182*Calculator!$C$8/100/12,0)</f>
        <v/>
      </c>
      <c r="E182" s="27">
        <f>IF(C182&lt;=0,0,MIN(C182+D182,Calculator!$C$14))</f>
        <v/>
      </c>
      <c r="F182" s="29">
        <f>MAX(0,C182+D182-E182)</f>
        <v/>
      </c>
      <c r="G182" s="27">
        <f>J181</f>
        <v/>
      </c>
      <c r="H182" s="28">
        <f>IF(G182&gt;0,G182*Calculator!$C$8/100/12,0)</f>
        <v/>
      </c>
      <c r="I182" s="27">
        <f>IF(G182&lt;=0,0,MIN(G182+H182,Calculator!$C$15))</f>
        <v/>
      </c>
      <c r="J182" s="29">
        <f>MAX(0,G182+H182-I182)</f>
        <v/>
      </c>
    </row>
    <row r="183">
      <c r="A183" s="30" t="n">
        <v>176</v>
      </c>
      <c r="B183" s="31">
        <f>EDATE(Calculator!$C$12,175)</f>
        <v/>
      </c>
      <c r="C183" s="32">
        <f>F182</f>
        <v/>
      </c>
      <c r="D183" s="33">
        <f>IF(C183&gt;0,C183*Calculator!$C$8/100/12,0)</f>
        <v/>
      </c>
      <c r="E183" s="32">
        <f>IF(C183&lt;=0,0,MIN(C183+D183,Calculator!$C$14))</f>
        <v/>
      </c>
      <c r="F183" s="34">
        <f>MAX(0,C183+D183-E183)</f>
        <v/>
      </c>
      <c r="G183" s="32">
        <f>J182</f>
        <v/>
      </c>
      <c r="H183" s="33">
        <f>IF(G183&gt;0,G183*Calculator!$C$8/100/12,0)</f>
        <v/>
      </c>
      <c r="I183" s="32">
        <f>IF(G183&lt;=0,0,MIN(G183+H183,Calculator!$C$15))</f>
        <v/>
      </c>
      <c r="J183" s="34">
        <f>MAX(0,G183+H183-I183)</f>
        <v/>
      </c>
    </row>
    <row r="184">
      <c r="A184" s="25" t="n">
        <v>177</v>
      </c>
      <c r="B184" s="26">
        <f>EDATE(Calculator!$C$12,176)</f>
        <v/>
      </c>
      <c r="C184" s="27">
        <f>F183</f>
        <v/>
      </c>
      <c r="D184" s="28">
        <f>IF(C184&gt;0,C184*Calculator!$C$8/100/12,0)</f>
        <v/>
      </c>
      <c r="E184" s="27">
        <f>IF(C184&lt;=0,0,MIN(C184+D184,Calculator!$C$14))</f>
        <v/>
      </c>
      <c r="F184" s="29">
        <f>MAX(0,C184+D184-E184)</f>
        <v/>
      </c>
      <c r="G184" s="27">
        <f>J183</f>
        <v/>
      </c>
      <c r="H184" s="28">
        <f>IF(G184&gt;0,G184*Calculator!$C$8/100/12,0)</f>
        <v/>
      </c>
      <c r="I184" s="27">
        <f>IF(G184&lt;=0,0,MIN(G184+H184,Calculator!$C$15))</f>
        <v/>
      </c>
      <c r="J184" s="29">
        <f>MAX(0,G184+H184-I184)</f>
        <v/>
      </c>
    </row>
    <row r="185">
      <c r="A185" s="30" t="n">
        <v>178</v>
      </c>
      <c r="B185" s="31">
        <f>EDATE(Calculator!$C$12,177)</f>
        <v/>
      </c>
      <c r="C185" s="32">
        <f>F184</f>
        <v/>
      </c>
      <c r="D185" s="33">
        <f>IF(C185&gt;0,C185*Calculator!$C$8/100/12,0)</f>
        <v/>
      </c>
      <c r="E185" s="32">
        <f>IF(C185&lt;=0,0,MIN(C185+D185,Calculator!$C$14))</f>
        <v/>
      </c>
      <c r="F185" s="34">
        <f>MAX(0,C185+D185-E185)</f>
        <v/>
      </c>
      <c r="G185" s="32">
        <f>J184</f>
        <v/>
      </c>
      <c r="H185" s="33">
        <f>IF(G185&gt;0,G185*Calculator!$C$8/100/12,0)</f>
        <v/>
      </c>
      <c r="I185" s="32">
        <f>IF(G185&lt;=0,0,MIN(G185+H185,Calculator!$C$15))</f>
        <v/>
      </c>
      <c r="J185" s="34">
        <f>MAX(0,G185+H185-I185)</f>
        <v/>
      </c>
    </row>
    <row r="186">
      <c r="A186" s="25" t="n">
        <v>179</v>
      </c>
      <c r="B186" s="26">
        <f>EDATE(Calculator!$C$12,178)</f>
        <v/>
      </c>
      <c r="C186" s="27">
        <f>F185</f>
        <v/>
      </c>
      <c r="D186" s="28">
        <f>IF(C186&gt;0,C186*Calculator!$C$8/100/12,0)</f>
        <v/>
      </c>
      <c r="E186" s="27">
        <f>IF(C186&lt;=0,0,MIN(C186+D186,Calculator!$C$14))</f>
        <v/>
      </c>
      <c r="F186" s="29">
        <f>MAX(0,C186+D186-E186)</f>
        <v/>
      </c>
      <c r="G186" s="27">
        <f>J185</f>
        <v/>
      </c>
      <c r="H186" s="28">
        <f>IF(G186&gt;0,G186*Calculator!$C$8/100/12,0)</f>
        <v/>
      </c>
      <c r="I186" s="27">
        <f>IF(G186&lt;=0,0,MIN(G186+H186,Calculator!$C$15))</f>
        <v/>
      </c>
      <c r="J186" s="29">
        <f>MAX(0,G186+H186-I186)</f>
        <v/>
      </c>
    </row>
    <row r="187">
      <c r="A187" s="30" t="n">
        <v>180</v>
      </c>
      <c r="B187" s="31">
        <f>EDATE(Calculator!$C$12,179)</f>
        <v/>
      </c>
      <c r="C187" s="32">
        <f>F186</f>
        <v/>
      </c>
      <c r="D187" s="33">
        <f>IF(C187&gt;0,C187*Calculator!$C$8/100/12,0)</f>
        <v/>
      </c>
      <c r="E187" s="32">
        <f>IF(C187&lt;=0,0,MIN(C187+D187,Calculator!$C$14))</f>
        <v/>
      </c>
      <c r="F187" s="34">
        <f>MAX(0,C187+D187-E187)</f>
        <v/>
      </c>
      <c r="G187" s="32">
        <f>J186</f>
        <v/>
      </c>
      <c r="H187" s="33">
        <f>IF(G187&gt;0,G187*Calculator!$C$8/100/12,0)</f>
        <v/>
      </c>
      <c r="I187" s="32">
        <f>IF(G187&lt;=0,0,MIN(G187+H187,Calculator!$C$15))</f>
        <v/>
      </c>
      <c r="J187" s="34">
        <f>MAX(0,G187+H187-I187)</f>
        <v/>
      </c>
    </row>
    <row r="188">
      <c r="A188" s="25" t="n">
        <v>181</v>
      </c>
      <c r="B188" s="26">
        <f>EDATE(Calculator!$C$12,180)</f>
        <v/>
      </c>
      <c r="C188" s="27">
        <f>F187</f>
        <v/>
      </c>
      <c r="D188" s="28">
        <f>IF(C188&gt;0,C188*Calculator!$C$8/100/12,0)</f>
        <v/>
      </c>
      <c r="E188" s="27">
        <f>IF(C188&lt;=0,0,MIN(C188+D188,Calculator!$C$14))</f>
        <v/>
      </c>
      <c r="F188" s="29">
        <f>MAX(0,C188+D188-E188)</f>
        <v/>
      </c>
      <c r="G188" s="27">
        <f>J187</f>
        <v/>
      </c>
      <c r="H188" s="28">
        <f>IF(G188&gt;0,G188*Calculator!$C$8/100/12,0)</f>
        <v/>
      </c>
      <c r="I188" s="27">
        <f>IF(G188&lt;=0,0,MIN(G188+H188,Calculator!$C$15))</f>
        <v/>
      </c>
      <c r="J188" s="29">
        <f>MAX(0,G188+H188-I188)</f>
        <v/>
      </c>
    </row>
    <row r="189">
      <c r="A189" s="30" t="n">
        <v>182</v>
      </c>
      <c r="B189" s="31">
        <f>EDATE(Calculator!$C$12,181)</f>
        <v/>
      </c>
      <c r="C189" s="32">
        <f>F188</f>
        <v/>
      </c>
      <c r="D189" s="33">
        <f>IF(C189&gt;0,C189*Calculator!$C$8/100/12,0)</f>
        <v/>
      </c>
      <c r="E189" s="32">
        <f>IF(C189&lt;=0,0,MIN(C189+D189,Calculator!$C$14))</f>
        <v/>
      </c>
      <c r="F189" s="34">
        <f>MAX(0,C189+D189-E189)</f>
        <v/>
      </c>
      <c r="G189" s="32">
        <f>J188</f>
        <v/>
      </c>
      <c r="H189" s="33">
        <f>IF(G189&gt;0,G189*Calculator!$C$8/100/12,0)</f>
        <v/>
      </c>
      <c r="I189" s="32">
        <f>IF(G189&lt;=0,0,MIN(G189+H189,Calculator!$C$15))</f>
        <v/>
      </c>
      <c r="J189" s="34">
        <f>MAX(0,G189+H189-I189)</f>
        <v/>
      </c>
    </row>
    <row r="190">
      <c r="A190" s="25" t="n">
        <v>183</v>
      </c>
      <c r="B190" s="26">
        <f>EDATE(Calculator!$C$12,182)</f>
        <v/>
      </c>
      <c r="C190" s="27">
        <f>F189</f>
        <v/>
      </c>
      <c r="D190" s="28">
        <f>IF(C190&gt;0,C190*Calculator!$C$8/100/12,0)</f>
        <v/>
      </c>
      <c r="E190" s="27">
        <f>IF(C190&lt;=0,0,MIN(C190+D190,Calculator!$C$14))</f>
        <v/>
      </c>
      <c r="F190" s="29">
        <f>MAX(0,C190+D190-E190)</f>
        <v/>
      </c>
      <c r="G190" s="27">
        <f>J189</f>
        <v/>
      </c>
      <c r="H190" s="28">
        <f>IF(G190&gt;0,G190*Calculator!$C$8/100/12,0)</f>
        <v/>
      </c>
      <c r="I190" s="27">
        <f>IF(G190&lt;=0,0,MIN(G190+H190,Calculator!$C$15))</f>
        <v/>
      </c>
      <c r="J190" s="29">
        <f>MAX(0,G190+H190-I190)</f>
        <v/>
      </c>
    </row>
    <row r="191">
      <c r="A191" s="30" t="n">
        <v>184</v>
      </c>
      <c r="B191" s="31">
        <f>EDATE(Calculator!$C$12,183)</f>
        <v/>
      </c>
      <c r="C191" s="32">
        <f>F190</f>
        <v/>
      </c>
      <c r="D191" s="33">
        <f>IF(C191&gt;0,C191*Calculator!$C$8/100/12,0)</f>
        <v/>
      </c>
      <c r="E191" s="32">
        <f>IF(C191&lt;=0,0,MIN(C191+D191,Calculator!$C$14))</f>
        <v/>
      </c>
      <c r="F191" s="34">
        <f>MAX(0,C191+D191-E191)</f>
        <v/>
      </c>
      <c r="G191" s="32">
        <f>J190</f>
        <v/>
      </c>
      <c r="H191" s="33">
        <f>IF(G191&gt;0,G191*Calculator!$C$8/100/12,0)</f>
        <v/>
      </c>
      <c r="I191" s="32">
        <f>IF(G191&lt;=0,0,MIN(G191+H191,Calculator!$C$15))</f>
        <v/>
      </c>
      <c r="J191" s="34">
        <f>MAX(0,G191+H191-I191)</f>
        <v/>
      </c>
    </row>
    <row r="192">
      <c r="A192" s="25" t="n">
        <v>185</v>
      </c>
      <c r="B192" s="26">
        <f>EDATE(Calculator!$C$12,184)</f>
        <v/>
      </c>
      <c r="C192" s="27">
        <f>F191</f>
        <v/>
      </c>
      <c r="D192" s="28">
        <f>IF(C192&gt;0,C192*Calculator!$C$8/100/12,0)</f>
        <v/>
      </c>
      <c r="E192" s="27">
        <f>IF(C192&lt;=0,0,MIN(C192+D192,Calculator!$C$14))</f>
        <v/>
      </c>
      <c r="F192" s="29">
        <f>MAX(0,C192+D192-E192)</f>
        <v/>
      </c>
      <c r="G192" s="27">
        <f>J191</f>
        <v/>
      </c>
      <c r="H192" s="28">
        <f>IF(G192&gt;0,G192*Calculator!$C$8/100/12,0)</f>
        <v/>
      </c>
      <c r="I192" s="27">
        <f>IF(G192&lt;=0,0,MIN(G192+H192,Calculator!$C$15))</f>
        <v/>
      </c>
      <c r="J192" s="29">
        <f>MAX(0,G192+H192-I192)</f>
        <v/>
      </c>
    </row>
    <row r="193">
      <c r="A193" s="30" t="n">
        <v>186</v>
      </c>
      <c r="B193" s="31">
        <f>EDATE(Calculator!$C$12,185)</f>
        <v/>
      </c>
      <c r="C193" s="32">
        <f>F192</f>
        <v/>
      </c>
      <c r="D193" s="33">
        <f>IF(C193&gt;0,C193*Calculator!$C$8/100/12,0)</f>
        <v/>
      </c>
      <c r="E193" s="32">
        <f>IF(C193&lt;=0,0,MIN(C193+D193,Calculator!$C$14))</f>
        <v/>
      </c>
      <c r="F193" s="34">
        <f>MAX(0,C193+D193-E193)</f>
        <v/>
      </c>
      <c r="G193" s="32">
        <f>J192</f>
        <v/>
      </c>
      <c r="H193" s="33">
        <f>IF(G193&gt;0,G193*Calculator!$C$8/100/12,0)</f>
        <v/>
      </c>
      <c r="I193" s="32">
        <f>IF(G193&lt;=0,0,MIN(G193+H193,Calculator!$C$15))</f>
        <v/>
      </c>
      <c r="J193" s="34">
        <f>MAX(0,G193+H193-I193)</f>
        <v/>
      </c>
    </row>
    <row r="194">
      <c r="A194" s="25" t="n">
        <v>187</v>
      </c>
      <c r="B194" s="26">
        <f>EDATE(Calculator!$C$12,186)</f>
        <v/>
      </c>
      <c r="C194" s="27">
        <f>F193</f>
        <v/>
      </c>
      <c r="D194" s="28">
        <f>IF(C194&gt;0,C194*Calculator!$C$8/100/12,0)</f>
        <v/>
      </c>
      <c r="E194" s="27">
        <f>IF(C194&lt;=0,0,MIN(C194+D194,Calculator!$C$14))</f>
        <v/>
      </c>
      <c r="F194" s="29">
        <f>MAX(0,C194+D194-E194)</f>
        <v/>
      </c>
      <c r="G194" s="27">
        <f>J193</f>
        <v/>
      </c>
      <c r="H194" s="28">
        <f>IF(G194&gt;0,G194*Calculator!$C$8/100/12,0)</f>
        <v/>
      </c>
      <c r="I194" s="27">
        <f>IF(G194&lt;=0,0,MIN(G194+H194,Calculator!$C$15))</f>
        <v/>
      </c>
      <c r="J194" s="29">
        <f>MAX(0,G194+H194-I194)</f>
        <v/>
      </c>
    </row>
    <row r="195">
      <c r="A195" s="30" t="n">
        <v>188</v>
      </c>
      <c r="B195" s="31">
        <f>EDATE(Calculator!$C$12,187)</f>
        <v/>
      </c>
      <c r="C195" s="32">
        <f>F194</f>
        <v/>
      </c>
      <c r="D195" s="33">
        <f>IF(C195&gt;0,C195*Calculator!$C$8/100/12,0)</f>
        <v/>
      </c>
      <c r="E195" s="32">
        <f>IF(C195&lt;=0,0,MIN(C195+D195,Calculator!$C$14))</f>
        <v/>
      </c>
      <c r="F195" s="34">
        <f>MAX(0,C195+D195-E195)</f>
        <v/>
      </c>
      <c r="G195" s="32">
        <f>J194</f>
        <v/>
      </c>
      <c r="H195" s="33">
        <f>IF(G195&gt;0,G195*Calculator!$C$8/100/12,0)</f>
        <v/>
      </c>
      <c r="I195" s="32">
        <f>IF(G195&lt;=0,0,MIN(G195+H195,Calculator!$C$15))</f>
        <v/>
      </c>
      <c r="J195" s="34">
        <f>MAX(0,G195+H195-I195)</f>
        <v/>
      </c>
    </row>
    <row r="196">
      <c r="A196" s="25" t="n">
        <v>189</v>
      </c>
      <c r="B196" s="26">
        <f>EDATE(Calculator!$C$12,188)</f>
        <v/>
      </c>
      <c r="C196" s="27">
        <f>F195</f>
        <v/>
      </c>
      <c r="D196" s="28">
        <f>IF(C196&gt;0,C196*Calculator!$C$8/100/12,0)</f>
        <v/>
      </c>
      <c r="E196" s="27">
        <f>IF(C196&lt;=0,0,MIN(C196+D196,Calculator!$C$14))</f>
        <v/>
      </c>
      <c r="F196" s="29">
        <f>MAX(0,C196+D196-E196)</f>
        <v/>
      </c>
      <c r="G196" s="27">
        <f>J195</f>
        <v/>
      </c>
      <c r="H196" s="28">
        <f>IF(G196&gt;0,G196*Calculator!$C$8/100/12,0)</f>
        <v/>
      </c>
      <c r="I196" s="27">
        <f>IF(G196&lt;=0,0,MIN(G196+H196,Calculator!$C$15))</f>
        <v/>
      </c>
      <c r="J196" s="29">
        <f>MAX(0,G196+H196-I196)</f>
        <v/>
      </c>
    </row>
    <row r="197">
      <c r="A197" s="30" t="n">
        <v>190</v>
      </c>
      <c r="B197" s="31">
        <f>EDATE(Calculator!$C$12,189)</f>
        <v/>
      </c>
      <c r="C197" s="32">
        <f>F196</f>
        <v/>
      </c>
      <c r="D197" s="33">
        <f>IF(C197&gt;0,C197*Calculator!$C$8/100/12,0)</f>
        <v/>
      </c>
      <c r="E197" s="32">
        <f>IF(C197&lt;=0,0,MIN(C197+D197,Calculator!$C$14))</f>
        <v/>
      </c>
      <c r="F197" s="34">
        <f>MAX(0,C197+D197-E197)</f>
        <v/>
      </c>
      <c r="G197" s="32">
        <f>J196</f>
        <v/>
      </c>
      <c r="H197" s="33">
        <f>IF(G197&gt;0,G197*Calculator!$C$8/100/12,0)</f>
        <v/>
      </c>
      <c r="I197" s="32">
        <f>IF(G197&lt;=0,0,MIN(G197+H197,Calculator!$C$15))</f>
        <v/>
      </c>
      <c r="J197" s="34">
        <f>MAX(0,G197+H197-I197)</f>
        <v/>
      </c>
    </row>
    <row r="198">
      <c r="A198" s="25" t="n">
        <v>191</v>
      </c>
      <c r="B198" s="26">
        <f>EDATE(Calculator!$C$12,190)</f>
        <v/>
      </c>
      <c r="C198" s="27">
        <f>F197</f>
        <v/>
      </c>
      <c r="D198" s="28">
        <f>IF(C198&gt;0,C198*Calculator!$C$8/100/12,0)</f>
        <v/>
      </c>
      <c r="E198" s="27">
        <f>IF(C198&lt;=0,0,MIN(C198+D198,Calculator!$C$14))</f>
        <v/>
      </c>
      <c r="F198" s="29">
        <f>MAX(0,C198+D198-E198)</f>
        <v/>
      </c>
      <c r="G198" s="27">
        <f>J197</f>
        <v/>
      </c>
      <c r="H198" s="28">
        <f>IF(G198&gt;0,G198*Calculator!$C$8/100/12,0)</f>
        <v/>
      </c>
      <c r="I198" s="27">
        <f>IF(G198&lt;=0,0,MIN(G198+H198,Calculator!$C$15))</f>
        <v/>
      </c>
      <c r="J198" s="29">
        <f>MAX(0,G198+H198-I198)</f>
        <v/>
      </c>
    </row>
    <row r="199">
      <c r="A199" s="30" t="n">
        <v>192</v>
      </c>
      <c r="B199" s="31">
        <f>EDATE(Calculator!$C$12,191)</f>
        <v/>
      </c>
      <c r="C199" s="32">
        <f>F198</f>
        <v/>
      </c>
      <c r="D199" s="33">
        <f>IF(C199&gt;0,C199*Calculator!$C$8/100/12,0)</f>
        <v/>
      </c>
      <c r="E199" s="32">
        <f>IF(C199&lt;=0,0,MIN(C199+D199,Calculator!$C$14))</f>
        <v/>
      </c>
      <c r="F199" s="34">
        <f>MAX(0,C199+D199-E199)</f>
        <v/>
      </c>
      <c r="G199" s="32">
        <f>J198</f>
        <v/>
      </c>
      <c r="H199" s="33">
        <f>IF(G199&gt;0,G199*Calculator!$C$8/100/12,0)</f>
        <v/>
      </c>
      <c r="I199" s="32">
        <f>IF(G199&lt;=0,0,MIN(G199+H199,Calculator!$C$15))</f>
        <v/>
      </c>
      <c r="J199" s="34">
        <f>MAX(0,G199+H199-I199)</f>
        <v/>
      </c>
    </row>
    <row r="200">
      <c r="A200" s="25" t="n">
        <v>193</v>
      </c>
      <c r="B200" s="26">
        <f>EDATE(Calculator!$C$12,192)</f>
        <v/>
      </c>
      <c r="C200" s="27">
        <f>F199</f>
        <v/>
      </c>
      <c r="D200" s="28">
        <f>IF(C200&gt;0,C200*Calculator!$C$8/100/12,0)</f>
        <v/>
      </c>
      <c r="E200" s="27">
        <f>IF(C200&lt;=0,0,MIN(C200+D200,Calculator!$C$14))</f>
        <v/>
      </c>
      <c r="F200" s="29">
        <f>MAX(0,C200+D200-E200)</f>
        <v/>
      </c>
      <c r="G200" s="27">
        <f>J199</f>
        <v/>
      </c>
      <c r="H200" s="28">
        <f>IF(G200&gt;0,G200*Calculator!$C$8/100/12,0)</f>
        <v/>
      </c>
      <c r="I200" s="27">
        <f>IF(G200&lt;=0,0,MIN(G200+H200,Calculator!$C$15))</f>
        <v/>
      </c>
      <c r="J200" s="29">
        <f>MAX(0,G200+H200-I200)</f>
        <v/>
      </c>
    </row>
    <row r="201">
      <c r="A201" s="30" t="n">
        <v>194</v>
      </c>
      <c r="B201" s="31">
        <f>EDATE(Calculator!$C$12,193)</f>
        <v/>
      </c>
      <c r="C201" s="32">
        <f>F200</f>
        <v/>
      </c>
      <c r="D201" s="33">
        <f>IF(C201&gt;0,C201*Calculator!$C$8/100/12,0)</f>
        <v/>
      </c>
      <c r="E201" s="32">
        <f>IF(C201&lt;=0,0,MIN(C201+D201,Calculator!$C$14))</f>
        <v/>
      </c>
      <c r="F201" s="34">
        <f>MAX(0,C201+D201-E201)</f>
        <v/>
      </c>
      <c r="G201" s="32">
        <f>J200</f>
        <v/>
      </c>
      <c r="H201" s="33">
        <f>IF(G201&gt;0,G201*Calculator!$C$8/100/12,0)</f>
        <v/>
      </c>
      <c r="I201" s="32">
        <f>IF(G201&lt;=0,0,MIN(G201+H201,Calculator!$C$15))</f>
        <v/>
      </c>
      <c r="J201" s="34">
        <f>MAX(0,G201+H201-I201)</f>
        <v/>
      </c>
    </row>
    <row r="202">
      <c r="A202" s="25" t="n">
        <v>195</v>
      </c>
      <c r="B202" s="26">
        <f>EDATE(Calculator!$C$12,194)</f>
        <v/>
      </c>
      <c r="C202" s="27">
        <f>F201</f>
        <v/>
      </c>
      <c r="D202" s="28">
        <f>IF(C202&gt;0,C202*Calculator!$C$8/100/12,0)</f>
        <v/>
      </c>
      <c r="E202" s="27">
        <f>IF(C202&lt;=0,0,MIN(C202+D202,Calculator!$C$14))</f>
        <v/>
      </c>
      <c r="F202" s="29">
        <f>MAX(0,C202+D202-E202)</f>
        <v/>
      </c>
      <c r="G202" s="27">
        <f>J201</f>
        <v/>
      </c>
      <c r="H202" s="28">
        <f>IF(G202&gt;0,G202*Calculator!$C$8/100/12,0)</f>
        <v/>
      </c>
      <c r="I202" s="27">
        <f>IF(G202&lt;=0,0,MIN(G202+H202,Calculator!$C$15))</f>
        <v/>
      </c>
      <c r="J202" s="29">
        <f>MAX(0,G202+H202-I202)</f>
        <v/>
      </c>
    </row>
    <row r="203">
      <c r="A203" s="30" t="n">
        <v>196</v>
      </c>
      <c r="B203" s="31">
        <f>EDATE(Calculator!$C$12,195)</f>
        <v/>
      </c>
      <c r="C203" s="32">
        <f>F202</f>
        <v/>
      </c>
      <c r="D203" s="33">
        <f>IF(C203&gt;0,C203*Calculator!$C$8/100/12,0)</f>
        <v/>
      </c>
      <c r="E203" s="32">
        <f>IF(C203&lt;=0,0,MIN(C203+D203,Calculator!$C$14))</f>
        <v/>
      </c>
      <c r="F203" s="34">
        <f>MAX(0,C203+D203-E203)</f>
        <v/>
      </c>
      <c r="G203" s="32">
        <f>J202</f>
        <v/>
      </c>
      <c r="H203" s="33">
        <f>IF(G203&gt;0,G203*Calculator!$C$8/100/12,0)</f>
        <v/>
      </c>
      <c r="I203" s="32">
        <f>IF(G203&lt;=0,0,MIN(G203+H203,Calculator!$C$15))</f>
        <v/>
      </c>
      <c r="J203" s="34">
        <f>MAX(0,G203+H203-I203)</f>
        <v/>
      </c>
    </row>
    <row r="204">
      <c r="A204" s="25" t="n">
        <v>197</v>
      </c>
      <c r="B204" s="26">
        <f>EDATE(Calculator!$C$12,196)</f>
        <v/>
      </c>
      <c r="C204" s="27">
        <f>F203</f>
        <v/>
      </c>
      <c r="D204" s="28">
        <f>IF(C204&gt;0,C204*Calculator!$C$8/100/12,0)</f>
        <v/>
      </c>
      <c r="E204" s="27">
        <f>IF(C204&lt;=0,0,MIN(C204+D204,Calculator!$C$14))</f>
        <v/>
      </c>
      <c r="F204" s="29">
        <f>MAX(0,C204+D204-E204)</f>
        <v/>
      </c>
      <c r="G204" s="27">
        <f>J203</f>
        <v/>
      </c>
      <c r="H204" s="28">
        <f>IF(G204&gt;0,G204*Calculator!$C$8/100/12,0)</f>
        <v/>
      </c>
      <c r="I204" s="27">
        <f>IF(G204&lt;=0,0,MIN(G204+H204,Calculator!$C$15))</f>
        <v/>
      </c>
      <c r="J204" s="29">
        <f>MAX(0,G204+H204-I204)</f>
        <v/>
      </c>
    </row>
    <row r="205">
      <c r="A205" s="30" t="n">
        <v>198</v>
      </c>
      <c r="B205" s="31">
        <f>EDATE(Calculator!$C$12,197)</f>
        <v/>
      </c>
      <c r="C205" s="32">
        <f>F204</f>
        <v/>
      </c>
      <c r="D205" s="33">
        <f>IF(C205&gt;0,C205*Calculator!$C$8/100/12,0)</f>
        <v/>
      </c>
      <c r="E205" s="32">
        <f>IF(C205&lt;=0,0,MIN(C205+D205,Calculator!$C$14))</f>
        <v/>
      </c>
      <c r="F205" s="34">
        <f>MAX(0,C205+D205-E205)</f>
        <v/>
      </c>
      <c r="G205" s="32">
        <f>J204</f>
        <v/>
      </c>
      <c r="H205" s="33">
        <f>IF(G205&gt;0,G205*Calculator!$C$8/100/12,0)</f>
        <v/>
      </c>
      <c r="I205" s="32">
        <f>IF(G205&lt;=0,0,MIN(G205+H205,Calculator!$C$15))</f>
        <v/>
      </c>
      <c r="J205" s="34">
        <f>MAX(0,G205+H205-I205)</f>
        <v/>
      </c>
    </row>
    <row r="206">
      <c r="A206" s="25" t="n">
        <v>199</v>
      </c>
      <c r="B206" s="26">
        <f>EDATE(Calculator!$C$12,198)</f>
        <v/>
      </c>
      <c r="C206" s="27">
        <f>F205</f>
        <v/>
      </c>
      <c r="D206" s="28">
        <f>IF(C206&gt;0,C206*Calculator!$C$8/100/12,0)</f>
        <v/>
      </c>
      <c r="E206" s="27">
        <f>IF(C206&lt;=0,0,MIN(C206+D206,Calculator!$C$14))</f>
        <v/>
      </c>
      <c r="F206" s="29">
        <f>MAX(0,C206+D206-E206)</f>
        <v/>
      </c>
      <c r="G206" s="27">
        <f>J205</f>
        <v/>
      </c>
      <c r="H206" s="28">
        <f>IF(G206&gt;0,G206*Calculator!$C$8/100/12,0)</f>
        <v/>
      </c>
      <c r="I206" s="27">
        <f>IF(G206&lt;=0,0,MIN(G206+H206,Calculator!$C$15))</f>
        <v/>
      </c>
      <c r="J206" s="29">
        <f>MAX(0,G206+H206-I206)</f>
        <v/>
      </c>
    </row>
    <row r="207">
      <c r="A207" s="30" t="n">
        <v>200</v>
      </c>
      <c r="B207" s="31">
        <f>EDATE(Calculator!$C$12,199)</f>
        <v/>
      </c>
      <c r="C207" s="32">
        <f>F206</f>
        <v/>
      </c>
      <c r="D207" s="33">
        <f>IF(C207&gt;0,C207*Calculator!$C$8/100/12,0)</f>
        <v/>
      </c>
      <c r="E207" s="32">
        <f>IF(C207&lt;=0,0,MIN(C207+D207,Calculator!$C$14))</f>
        <v/>
      </c>
      <c r="F207" s="34">
        <f>MAX(0,C207+D207-E207)</f>
        <v/>
      </c>
      <c r="G207" s="32">
        <f>J206</f>
        <v/>
      </c>
      <c r="H207" s="33">
        <f>IF(G207&gt;0,G207*Calculator!$C$8/100/12,0)</f>
        <v/>
      </c>
      <c r="I207" s="32">
        <f>IF(G207&lt;=0,0,MIN(G207+H207,Calculator!$C$15))</f>
        <v/>
      </c>
      <c r="J207" s="34">
        <f>MAX(0,G207+H207-I207)</f>
        <v/>
      </c>
    </row>
    <row r="208">
      <c r="A208" s="25" t="n">
        <v>201</v>
      </c>
      <c r="B208" s="26">
        <f>EDATE(Calculator!$C$12,200)</f>
        <v/>
      </c>
      <c r="C208" s="27">
        <f>F207</f>
        <v/>
      </c>
      <c r="D208" s="28">
        <f>IF(C208&gt;0,C208*Calculator!$C$8/100/12,0)</f>
        <v/>
      </c>
      <c r="E208" s="27">
        <f>IF(C208&lt;=0,0,MIN(C208+D208,Calculator!$C$14))</f>
        <v/>
      </c>
      <c r="F208" s="29">
        <f>MAX(0,C208+D208-E208)</f>
        <v/>
      </c>
      <c r="G208" s="27">
        <f>J207</f>
        <v/>
      </c>
      <c r="H208" s="28">
        <f>IF(G208&gt;0,G208*Calculator!$C$8/100/12,0)</f>
        <v/>
      </c>
      <c r="I208" s="27">
        <f>IF(G208&lt;=0,0,MIN(G208+H208,Calculator!$C$15))</f>
        <v/>
      </c>
      <c r="J208" s="29">
        <f>MAX(0,G208+H208-I208)</f>
        <v/>
      </c>
    </row>
    <row r="209">
      <c r="A209" s="30" t="n">
        <v>202</v>
      </c>
      <c r="B209" s="31">
        <f>EDATE(Calculator!$C$12,201)</f>
        <v/>
      </c>
      <c r="C209" s="32">
        <f>F208</f>
        <v/>
      </c>
      <c r="D209" s="33">
        <f>IF(C209&gt;0,C209*Calculator!$C$8/100/12,0)</f>
        <v/>
      </c>
      <c r="E209" s="32">
        <f>IF(C209&lt;=0,0,MIN(C209+D209,Calculator!$C$14))</f>
        <v/>
      </c>
      <c r="F209" s="34">
        <f>MAX(0,C209+D209-E209)</f>
        <v/>
      </c>
      <c r="G209" s="32">
        <f>J208</f>
        <v/>
      </c>
      <c r="H209" s="33">
        <f>IF(G209&gt;0,G209*Calculator!$C$8/100/12,0)</f>
        <v/>
      </c>
      <c r="I209" s="32">
        <f>IF(G209&lt;=0,0,MIN(G209+H209,Calculator!$C$15))</f>
        <v/>
      </c>
      <c r="J209" s="34">
        <f>MAX(0,G209+H209-I209)</f>
        <v/>
      </c>
    </row>
    <row r="210">
      <c r="A210" s="25" t="n">
        <v>203</v>
      </c>
      <c r="B210" s="26">
        <f>EDATE(Calculator!$C$12,202)</f>
        <v/>
      </c>
      <c r="C210" s="27">
        <f>F209</f>
        <v/>
      </c>
      <c r="D210" s="28">
        <f>IF(C210&gt;0,C210*Calculator!$C$8/100/12,0)</f>
        <v/>
      </c>
      <c r="E210" s="27">
        <f>IF(C210&lt;=0,0,MIN(C210+D210,Calculator!$C$14))</f>
        <v/>
      </c>
      <c r="F210" s="29">
        <f>MAX(0,C210+D210-E210)</f>
        <v/>
      </c>
      <c r="G210" s="27">
        <f>J209</f>
        <v/>
      </c>
      <c r="H210" s="28">
        <f>IF(G210&gt;0,G210*Calculator!$C$8/100/12,0)</f>
        <v/>
      </c>
      <c r="I210" s="27">
        <f>IF(G210&lt;=0,0,MIN(G210+H210,Calculator!$C$15))</f>
        <v/>
      </c>
      <c r="J210" s="29">
        <f>MAX(0,G210+H210-I210)</f>
        <v/>
      </c>
    </row>
    <row r="211">
      <c r="A211" s="30" t="n">
        <v>204</v>
      </c>
      <c r="B211" s="31">
        <f>EDATE(Calculator!$C$12,203)</f>
        <v/>
      </c>
      <c r="C211" s="32">
        <f>F210</f>
        <v/>
      </c>
      <c r="D211" s="33">
        <f>IF(C211&gt;0,C211*Calculator!$C$8/100/12,0)</f>
        <v/>
      </c>
      <c r="E211" s="32">
        <f>IF(C211&lt;=0,0,MIN(C211+D211,Calculator!$C$14))</f>
        <v/>
      </c>
      <c r="F211" s="34">
        <f>MAX(0,C211+D211-E211)</f>
        <v/>
      </c>
      <c r="G211" s="32">
        <f>J210</f>
        <v/>
      </c>
      <c r="H211" s="33">
        <f>IF(G211&gt;0,G211*Calculator!$C$8/100/12,0)</f>
        <v/>
      </c>
      <c r="I211" s="32">
        <f>IF(G211&lt;=0,0,MIN(G211+H211,Calculator!$C$15))</f>
        <v/>
      </c>
      <c r="J211" s="34">
        <f>MAX(0,G211+H211-I211)</f>
        <v/>
      </c>
    </row>
    <row r="212">
      <c r="A212" s="25" t="n">
        <v>205</v>
      </c>
      <c r="B212" s="26">
        <f>EDATE(Calculator!$C$12,204)</f>
        <v/>
      </c>
      <c r="C212" s="27">
        <f>F211</f>
        <v/>
      </c>
      <c r="D212" s="28">
        <f>IF(C212&gt;0,C212*Calculator!$C$8/100/12,0)</f>
        <v/>
      </c>
      <c r="E212" s="27">
        <f>IF(C212&lt;=0,0,MIN(C212+D212,Calculator!$C$14))</f>
        <v/>
      </c>
      <c r="F212" s="29">
        <f>MAX(0,C212+D212-E212)</f>
        <v/>
      </c>
      <c r="G212" s="27">
        <f>J211</f>
        <v/>
      </c>
      <c r="H212" s="28">
        <f>IF(G212&gt;0,G212*Calculator!$C$8/100/12,0)</f>
        <v/>
      </c>
      <c r="I212" s="27">
        <f>IF(G212&lt;=0,0,MIN(G212+H212,Calculator!$C$15))</f>
        <v/>
      </c>
      <c r="J212" s="29">
        <f>MAX(0,G212+H212-I212)</f>
        <v/>
      </c>
    </row>
    <row r="213">
      <c r="A213" s="30" t="n">
        <v>206</v>
      </c>
      <c r="B213" s="31">
        <f>EDATE(Calculator!$C$12,205)</f>
        <v/>
      </c>
      <c r="C213" s="32">
        <f>F212</f>
        <v/>
      </c>
      <c r="D213" s="33">
        <f>IF(C213&gt;0,C213*Calculator!$C$8/100/12,0)</f>
        <v/>
      </c>
      <c r="E213" s="32">
        <f>IF(C213&lt;=0,0,MIN(C213+D213,Calculator!$C$14))</f>
        <v/>
      </c>
      <c r="F213" s="34">
        <f>MAX(0,C213+D213-E213)</f>
        <v/>
      </c>
      <c r="G213" s="32">
        <f>J212</f>
        <v/>
      </c>
      <c r="H213" s="33">
        <f>IF(G213&gt;0,G213*Calculator!$C$8/100/12,0)</f>
        <v/>
      </c>
      <c r="I213" s="32">
        <f>IF(G213&lt;=0,0,MIN(G213+H213,Calculator!$C$15))</f>
        <v/>
      </c>
      <c r="J213" s="34">
        <f>MAX(0,G213+H213-I213)</f>
        <v/>
      </c>
    </row>
    <row r="214">
      <c r="A214" s="25" t="n">
        <v>207</v>
      </c>
      <c r="B214" s="26">
        <f>EDATE(Calculator!$C$12,206)</f>
        <v/>
      </c>
      <c r="C214" s="27">
        <f>F213</f>
        <v/>
      </c>
      <c r="D214" s="28">
        <f>IF(C214&gt;0,C214*Calculator!$C$8/100/12,0)</f>
        <v/>
      </c>
      <c r="E214" s="27">
        <f>IF(C214&lt;=0,0,MIN(C214+D214,Calculator!$C$14))</f>
        <v/>
      </c>
      <c r="F214" s="29">
        <f>MAX(0,C214+D214-E214)</f>
        <v/>
      </c>
      <c r="G214" s="27">
        <f>J213</f>
        <v/>
      </c>
      <c r="H214" s="28">
        <f>IF(G214&gt;0,G214*Calculator!$C$8/100/12,0)</f>
        <v/>
      </c>
      <c r="I214" s="27">
        <f>IF(G214&lt;=0,0,MIN(G214+H214,Calculator!$C$15))</f>
        <v/>
      </c>
      <c r="J214" s="29">
        <f>MAX(0,G214+H214-I214)</f>
        <v/>
      </c>
    </row>
    <row r="215">
      <c r="A215" s="30" t="n">
        <v>208</v>
      </c>
      <c r="B215" s="31">
        <f>EDATE(Calculator!$C$12,207)</f>
        <v/>
      </c>
      <c r="C215" s="32">
        <f>F214</f>
        <v/>
      </c>
      <c r="D215" s="33">
        <f>IF(C215&gt;0,C215*Calculator!$C$8/100/12,0)</f>
        <v/>
      </c>
      <c r="E215" s="32">
        <f>IF(C215&lt;=0,0,MIN(C215+D215,Calculator!$C$14))</f>
        <v/>
      </c>
      <c r="F215" s="34">
        <f>MAX(0,C215+D215-E215)</f>
        <v/>
      </c>
      <c r="G215" s="32">
        <f>J214</f>
        <v/>
      </c>
      <c r="H215" s="33">
        <f>IF(G215&gt;0,G215*Calculator!$C$8/100/12,0)</f>
        <v/>
      </c>
      <c r="I215" s="32">
        <f>IF(G215&lt;=0,0,MIN(G215+H215,Calculator!$C$15))</f>
        <v/>
      </c>
      <c r="J215" s="34">
        <f>MAX(0,G215+H215-I215)</f>
        <v/>
      </c>
    </row>
    <row r="216">
      <c r="A216" s="25" t="n">
        <v>209</v>
      </c>
      <c r="B216" s="26">
        <f>EDATE(Calculator!$C$12,208)</f>
        <v/>
      </c>
      <c r="C216" s="27">
        <f>F215</f>
        <v/>
      </c>
      <c r="D216" s="28">
        <f>IF(C216&gt;0,C216*Calculator!$C$8/100/12,0)</f>
        <v/>
      </c>
      <c r="E216" s="27">
        <f>IF(C216&lt;=0,0,MIN(C216+D216,Calculator!$C$14))</f>
        <v/>
      </c>
      <c r="F216" s="29">
        <f>MAX(0,C216+D216-E216)</f>
        <v/>
      </c>
      <c r="G216" s="27">
        <f>J215</f>
        <v/>
      </c>
      <c r="H216" s="28">
        <f>IF(G216&gt;0,G216*Calculator!$C$8/100/12,0)</f>
        <v/>
      </c>
      <c r="I216" s="27">
        <f>IF(G216&lt;=0,0,MIN(G216+H216,Calculator!$C$15))</f>
        <v/>
      </c>
      <c r="J216" s="29">
        <f>MAX(0,G216+H216-I216)</f>
        <v/>
      </c>
    </row>
    <row r="217">
      <c r="A217" s="30" t="n">
        <v>210</v>
      </c>
      <c r="B217" s="31">
        <f>EDATE(Calculator!$C$12,209)</f>
        <v/>
      </c>
      <c r="C217" s="32">
        <f>F216</f>
        <v/>
      </c>
      <c r="D217" s="33">
        <f>IF(C217&gt;0,C217*Calculator!$C$8/100/12,0)</f>
        <v/>
      </c>
      <c r="E217" s="32">
        <f>IF(C217&lt;=0,0,MIN(C217+D217,Calculator!$C$14))</f>
        <v/>
      </c>
      <c r="F217" s="34">
        <f>MAX(0,C217+D217-E217)</f>
        <v/>
      </c>
      <c r="G217" s="32">
        <f>J216</f>
        <v/>
      </c>
      <c r="H217" s="33">
        <f>IF(G217&gt;0,G217*Calculator!$C$8/100/12,0)</f>
        <v/>
      </c>
      <c r="I217" s="32">
        <f>IF(G217&lt;=0,0,MIN(G217+H217,Calculator!$C$15))</f>
        <v/>
      </c>
      <c r="J217" s="34">
        <f>MAX(0,G217+H217-I217)</f>
        <v/>
      </c>
    </row>
    <row r="218">
      <c r="A218" s="25" t="n">
        <v>211</v>
      </c>
      <c r="B218" s="26">
        <f>EDATE(Calculator!$C$12,210)</f>
        <v/>
      </c>
      <c r="C218" s="27">
        <f>F217</f>
        <v/>
      </c>
      <c r="D218" s="28">
        <f>IF(C218&gt;0,C218*Calculator!$C$8/100/12,0)</f>
        <v/>
      </c>
      <c r="E218" s="27">
        <f>IF(C218&lt;=0,0,MIN(C218+D218,Calculator!$C$14))</f>
        <v/>
      </c>
      <c r="F218" s="29">
        <f>MAX(0,C218+D218-E218)</f>
        <v/>
      </c>
      <c r="G218" s="27">
        <f>J217</f>
        <v/>
      </c>
      <c r="H218" s="28">
        <f>IF(G218&gt;0,G218*Calculator!$C$8/100/12,0)</f>
        <v/>
      </c>
      <c r="I218" s="27">
        <f>IF(G218&lt;=0,0,MIN(G218+H218,Calculator!$C$15))</f>
        <v/>
      </c>
      <c r="J218" s="29">
        <f>MAX(0,G218+H218-I218)</f>
        <v/>
      </c>
    </row>
    <row r="219">
      <c r="A219" s="30" t="n">
        <v>212</v>
      </c>
      <c r="B219" s="31">
        <f>EDATE(Calculator!$C$12,211)</f>
        <v/>
      </c>
      <c r="C219" s="32">
        <f>F218</f>
        <v/>
      </c>
      <c r="D219" s="33">
        <f>IF(C219&gt;0,C219*Calculator!$C$8/100/12,0)</f>
        <v/>
      </c>
      <c r="E219" s="32">
        <f>IF(C219&lt;=0,0,MIN(C219+D219,Calculator!$C$14))</f>
        <v/>
      </c>
      <c r="F219" s="34">
        <f>MAX(0,C219+D219-E219)</f>
        <v/>
      </c>
      <c r="G219" s="32">
        <f>J218</f>
        <v/>
      </c>
      <c r="H219" s="33">
        <f>IF(G219&gt;0,G219*Calculator!$C$8/100/12,0)</f>
        <v/>
      </c>
      <c r="I219" s="32">
        <f>IF(G219&lt;=0,0,MIN(G219+H219,Calculator!$C$15))</f>
        <v/>
      </c>
      <c r="J219" s="34">
        <f>MAX(0,G219+H219-I219)</f>
        <v/>
      </c>
    </row>
    <row r="220">
      <c r="A220" s="25" t="n">
        <v>213</v>
      </c>
      <c r="B220" s="26">
        <f>EDATE(Calculator!$C$12,212)</f>
        <v/>
      </c>
      <c r="C220" s="27">
        <f>F219</f>
        <v/>
      </c>
      <c r="D220" s="28">
        <f>IF(C220&gt;0,C220*Calculator!$C$8/100/12,0)</f>
        <v/>
      </c>
      <c r="E220" s="27">
        <f>IF(C220&lt;=0,0,MIN(C220+D220,Calculator!$C$14))</f>
        <v/>
      </c>
      <c r="F220" s="29">
        <f>MAX(0,C220+D220-E220)</f>
        <v/>
      </c>
      <c r="G220" s="27">
        <f>J219</f>
        <v/>
      </c>
      <c r="H220" s="28">
        <f>IF(G220&gt;0,G220*Calculator!$C$8/100/12,0)</f>
        <v/>
      </c>
      <c r="I220" s="27">
        <f>IF(G220&lt;=0,0,MIN(G220+H220,Calculator!$C$15))</f>
        <v/>
      </c>
      <c r="J220" s="29">
        <f>MAX(0,G220+H220-I220)</f>
        <v/>
      </c>
    </row>
    <row r="221">
      <c r="A221" s="30" t="n">
        <v>214</v>
      </c>
      <c r="B221" s="31">
        <f>EDATE(Calculator!$C$12,213)</f>
        <v/>
      </c>
      <c r="C221" s="32">
        <f>F220</f>
        <v/>
      </c>
      <c r="D221" s="33">
        <f>IF(C221&gt;0,C221*Calculator!$C$8/100/12,0)</f>
        <v/>
      </c>
      <c r="E221" s="32">
        <f>IF(C221&lt;=0,0,MIN(C221+D221,Calculator!$C$14))</f>
        <v/>
      </c>
      <c r="F221" s="34">
        <f>MAX(0,C221+D221-E221)</f>
        <v/>
      </c>
      <c r="G221" s="32">
        <f>J220</f>
        <v/>
      </c>
      <c r="H221" s="33">
        <f>IF(G221&gt;0,G221*Calculator!$C$8/100/12,0)</f>
        <v/>
      </c>
      <c r="I221" s="32">
        <f>IF(G221&lt;=0,0,MIN(G221+H221,Calculator!$C$15))</f>
        <v/>
      </c>
      <c r="J221" s="34">
        <f>MAX(0,G221+H221-I221)</f>
        <v/>
      </c>
    </row>
    <row r="222">
      <c r="A222" s="25" t="n">
        <v>215</v>
      </c>
      <c r="B222" s="26">
        <f>EDATE(Calculator!$C$12,214)</f>
        <v/>
      </c>
      <c r="C222" s="27">
        <f>F221</f>
        <v/>
      </c>
      <c r="D222" s="28">
        <f>IF(C222&gt;0,C222*Calculator!$C$8/100/12,0)</f>
        <v/>
      </c>
      <c r="E222" s="27">
        <f>IF(C222&lt;=0,0,MIN(C222+D222,Calculator!$C$14))</f>
        <v/>
      </c>
      <c r="F222" s="29">
        <f>MAX(0,C222+D222-E222)</f>
        <v/>
      </c>
      <c r="G222" s="27">
        <f>J221</f>
        <v/>
      </c>
      <c r="H222" s="28">
        <f>IF(G222&gt;0,G222*Calculator!$C$8/100/12,0)</f>
        <v/>
      </c>
      <c r="I222" s="27">
        <f>IF(G222&lt;=0,0,MIN(G222+H222,Calculator!$C$15))</f>
        <v/>
      </c>
      <c r="J222" s="29">
        <f>MAX(0,G222+H222-I222)</f>
        <v/>
      </c>
    </row>
    <row r="223">
      <c r="A223" s="30" t="n">
        <v>216</v>
      </c>
      <c r="B223" s="31">
        <f>EDATE(Calculator!$C$12,215)</f>
        <v/>
      </c>
      <c r="C223" s="32">
        <f>F222</f>
        <v/>
      </c>
      <c r="D223" s="33">
        <f>IF(C223&gt;0,C223*Calculator!$C$8/100/12,0)</f>
        <v/>
      </c>
      <c r="E223" s="32">
        <f>IF(C223&lt;=0,0,MIN(C223+D223,Calculator!$C$14))</f>
        <v/>
      </c>
      <c r="F223" s="34">
        <f>MAX(0,C223+D223-E223)</f>
        <v/>
      </c>
      <c r="G223" s="32">
        <f>J222</f>
        <v/>
      </c>
      <c r="H223" s="33">
        <f>IF(G223&gt;0,G223*Calculator!$C$8/100/12,0)</f>
        <v/>
      </c>
      <c r="I223" s="32">
        <f>IF(G223&lt;=0,0,MIN(G223+H223,Calculator!$C$15))</f>
        <v/>
      </c>
      <c r="J223" s="34">
        <f>MAX(0,G223+H223-I223)</f>
        <v/>
      </c>
    </row>
    <row r="224">
      <c r="A224" s="25" t="n">
        <v>217</v>
      </c>
      <c r="B224" s="26">
        <f>EDATE(Calculator!$C$12,216)</f>
        <v/>
      </c>
      <c r="C224" s="27">
        <f>F223</f>
        <v/>
      </c>
      <c r="D224" s="28">
        <f>IF(C224&gt;0,C224*Calculator!$C$8/100/12,0)</f>
        <v/>
      </c>
      <c r="E224" s="27">
        <f>IF(C224&lt;=0,0,MIN(C224+D224,Calculator!$C$14))</f>
        <v/>
      </c>
      <c r="F224" s="29">
        <f>MAX(0,C224+D224-E224)</f>
        <v/>
      </c>
      <c r="G224" s="27">
        <f>J223</f>
        <v/>
      </c>
      <c r="H224" s="28">
        <f>IF(G224&gt;0,G224*Calculator!$C$8/100/12,0)</f>
        <v/>
      </c>
      <c r="I224" s="27">
        <f>IF(G224&lt;=0,0,MIN(G224+H224,Calculator!$C$15))</f>
        <v/>
      </c>
      <c r="J224" s="29">
        <f>MAX(0,G224+H224-I224)</f>
        <v/>
      </c>
    </row>
    <row r="225">
      <c r="A225" s="30" t="n">
        <v>218</v>
      </c>
      <c r="B225" s="31">
        <f>EDATE(Calculator!$C$12,217)</f>
        <v/>
      </c>
      <c r="C225" s="32">
        <f>F224</f>
        <v/>
      </c>
      <c r="D225" s="33">
        <f>IF(C225&gt;0,C225*Calculator!$C$8/100/12,0)</f>
        <v/>
      </c>
      <c r="E225" s="32">
        <f>IF(C225&lt;=0,0,MIN(C225+D225,Calculator!$C$14))</f>
        <v/>
      </c>
      <c r="F225" s="34">
        <f>MAX(0,C225+D225-E225)</f>
        <v/>
      </c>
      <c r="G225" s="32">
        <f>J224</f>
        <v/>
      </c>
      <c r="H225" s="33">
        <f>IF(G225&gt;0,G225*Calculator!$C$8/100/12,0)</f>
        <v/>
      </c>
      <c r="I225" s="32">
        <f>IF(G225&lt;=0,0,MIN(G225+H225,Calculator!$C$15))</f>
        <v/>
      </c>
      <c r="J225" s="34">
        <f>MAX(0,G225+H225-I225)</f>
        <v/>
      </c>
    </row>
    <row r="226">
      <c r="A226" s="25" t="n">
        <v>219</v>
      </c>
      <c r="B226" s="26">
        <f>EDATE(Calculator!$C$12,218)</f>
        <v/>
      </c>
      <c r="C226" s="27">
        <f>F225</f>
        <v/>
      </c>
      <c r="D226" s="28">
        <f>IF(C226&gt;0,C226*Calculator!$C$8/100/12,0)</f>
        <v/>
      </c>
      <c r="E226" s="27">
        <f>IF(C226&lt;=0,0,MIN(C226+D226,Calculator!$C$14))</f>
        <v/>
      </c>
      <c r="F226" s="29">
        <f>MAX(0,C226+D226-E226)</f>
        <v/>
      </c>
      <c r="G226" s="27">
        <f>J225</f>
        <v/>
      </c>
      <c r="H226" s="28">
        <f>IF(G226&gt;0,G226*Calculator!$C$8/100/12,0)</f>
        <v/>
      </c>
      <c r="I226" s="27">
        <f>IF(G226&lt;=0,0,MIN(G226+H226,Calculator!$C$15))</f>
        <v/>
      </c>
      <c r="J226" s="29">
        <f>MAX(0,G226+H226-I226)</f>
        <v/>
      </c>
    </row>
    <row r="227">
      <c r="A227" s="30" t="n">
        <v>220</v>
      </c>
      <c r="B227" s="31">
        <f>EDATE(Calculator!$C$12,219)</f>
        <v/>
      </c>
      <c r="C227" s="32">
        <f>F226</f>
        <v/>
      </c>
      <c r="D227" s="33">
        <f>IF(C227&gt;0,C227*Calculator!$C$8/100/12,0)</f>
        <v/>
      </c>
      <c r="E227" s="32">
        <f>IF(C227&lt;=0,0,MIN(C227+D227,Calculator!$C$14))</f>
        <v/>
      </c>
      <c r="F227" s="34">
        <f>MAX(0,C227+D227-E227)</f>
        <v/>
      </c>
      <c r="G227" s="32">
        <f>J226</f>
        <v/>
      </c>
      <c r="H227" s="33">
        <f>IF(G227&gt;0,G227*Calculator!$C$8/100/12,0)</f>
        <v/>
      </c>
      <c r="I227" s="32">
        <f>IF(G227&lt;=0,0,MIN(G227+H227,Calculator!$C$15))</f>
        <v/>
      </c>
      <c r="J227" s="34">
        <f>MAX(0,G227+H227-I227)</f>
        <v/>
      </c>
    </row>
    <row r="228">
      <c r="A228" s="25" t="n">
        <v>221</v>
      </c>
      <c r="B228" s="26">
        <f>EDATE(Calculator!$C$12,220)</f>
        <v/>
      </c>
      <c r="C228" s="27">
        <f>F227</f>
        <v/>
      </c>
      <c r="D228" s="28">
        <f>IF(C228&gt;0,C228*Calculator!$C$8/100/12,0)</f>
        <v/>
      </c>
      <c r="E228" s="27">
        <f>IF(C228&lt;=0,0,MIN(C228+D228,Calculator!$C$14))</f>
        <v/>
      </c>
      <c r="F228" s="29">
        <f>MAX(0,C228+D228-E228)</f>
        <v/>
      </c>
      <c r="G228" s="27">
        <f>J227</f>
        <v/>
      </c>
      <c r="H228" s="28">
        <f>IF(G228&gt;0,G228*Calculator!$C$8/100/12,0)</f>
        <v/>
      </c>
      <c r="I228" s="27">
        <f>IF(G228&lt;=0,0,MIN(G228+H228,Calculator!$C$15))</f>
        <v/>
      </c>
      <c r="J228" s="29">
        <f>MAX(0,G228+H228-I228)</f>
        <v/>
      </c>
    </row>
    <row r="229">
      <c r="A229" s="30" t="n">
        <v>222</v>
      </c>
      <c r="B229" s="31">
        <f>EDATE(Calculator!$C$12,221)</f>
        <v/>
      </c>
      <c r="C229" s="32">
        <f>F228</f>
        <v/>
      </c>
      <c r="D229" s="33">
        <f>IF(C229&gt;0,C229*Calculator!$C$8/100/12,0)</f>
        <v/>
      </c>
      <c r="E229" s="32">
        <f>IF(C229&lt;=0,0,MIN(C229+D229,Calculator!$C$14))</f>
        <v/>
      </c>
      <c r="F229" s="34">
        <f>MAX(0,C229+D229-E229)</f>
        <v/>
      </c>
      <c r="G229" s="32">
        <f>J228</f>
        <v/>
      </c>
      <c r="H229" s="33">
        <f>IF(G229&gt;0,G229*Calculator!$C$8/100/12,0)</f>
        <v/>
      </c>
      <c r="I229" s="32">
        <f>IF(G229&lt;=0,0,MIN(G229+H229,Calculator!$C$15))</f>
        <v/>
      </c>
      <c r="J229" s="34">
        <f>MAX(0,G229+H229-I229)</f>
        <v/>
      </c>
    </row>
    <row r="230">
      <c r="A230" s="25" t="n">
        <v>223</v>
      </c>
      <c r="B230" s="26">
        <f>EDATE(Calculator!$C$12,222)</f>
        <v/>
      </c>
      <c r="C230" s="27">
        <f>F229</f>
        <v/>
      </c>
      <c r="D230" s="28">
        <f>IF(C230&gt;0,C230*Calculator!$C$8/100/12,0)</f>
        <v/>
      </c>
      <c r="E230" s="27">
        <f>IF(C230&lt;=0,0,MIN(C230+D230,Calculator!$C$14))</f>
        <v/>
      </c>
      <c r="F230" s="29">
        <f>MAX(0,C230+D230-E230)</f>
        <v/>
      </c>
      <c r="G230" s="27">
        <f>J229</f>
        <v/>
      </c>
      <c r="H230" s="28">
        <f>IF(G230&gt;0,G230*Calculator!$C$8/100/12,0)</f>
        <v/>
      </c>
      <c r="I230" s="27">
        <f>IF(G230&lt;=0,0,MIN(G230+H230,Calculator!$C$15))</f>
        <v/>
      </c>
      <c r="J230" s="29">
        <f>MAX(0,G230+H230-I230)</f>
        <v/>
      </c>
    </row>
    <row r="231">
      <c r="A231" s="30" t="n">
        <v>224</v>
      </c>
      <c r="B231" s="31">
        <f>EDATE(Calculator!$C$12,223)</f>
        <v/>
      </c>
      <c r="C231" s="32">
        <f>F230</f>
        <v/>
      </c>
      <c r="D231" s="33">
        <f>IF(C231&gt;0,C231*Calculator!$C$8/100/12,0)</f>
        <v/>
      </c>
      <c r="E231" s="32">
        <f>IF(C231&lt;=0,0,MIN(C231+D231,Calculator!$C$14))</f>
        <v/>
      </c>
      <c r="F231" s="34">
        <f>MAX(0,C231+D231-E231)</f>
        <v/>
      </c>
      <c r="G231" s="32">
        <f>J230</f>
        <v/>
      </c>
      <c r="H231" s="33">
        <f>IF(G231&gt;0,G231*Calculator!$C$8/100/12,0)</f>
        <v/>
      </c>
      <c r="I231" s="32">
        <f>IF(G231&lt;=0,0,MIN(G231+H231,Calculator!$C$15))</f>
        <v/>
      </c>
      <c r="J231" s="34">
        <f>MAX(0,G231+H231-I231)</f>
        <v/>
      </c>
    </row>
    <row r="232">
      <c r="A232" s="25" t="n">
        <v>225</v>
      </c>
      <c r="B232" s="26">
        <f>EDATE(Calculator!$C$12,224)</f>
        <v/>
      </c>
      <c r="C232" s="27">
        <f>F231</f>
        <v/>
      </c>
      <c r="D232" s="28">
        <f>IF(C232&gt;0,C232*Calculator!$C$8/100/12,0)</f>
        <v/>
      </c>
      <c r="E232" s="27">
        <f>IF(C232&lt;=0,0,MIN(C232+D232,Calculator!$C$14))</f>
        <v/>
      </c>
      <c r="F232" s="29">
        <f>MAX(0,C232+D232-E232)</f>
        <v/>
      </c>
      <c r="G232" s="27">
        <f>J231</f>
        <v/>
      </c>
      <c r="H232" s="28">
        <f>IF(G232&gt;0,G232*Calculator!$C$8/100/12,0)</f>
        <v/>
      </c>
      <c r="I232" s="27">
        <f>IF(G232&lt;=0,0,MIN(G232+H232,Calculator!$C$15))</f>
        <v/>
      </c>
      <c r="J232" s="29">
        <f>MAX(0,G232+H232-I232)</f>
        <v/>
      </c>
    </row>
    <row r="233">
      <c r="A233" s="30" t="n">
        <v>226</v>
      </c>
      <c r="B233" s="31">
        <f>EDATE(Calculator!$C$12,225)</f>
        <v/>
      </c>
      <c r="C233" s="32">
        <f>F232</f>
        <v/>
      </c>
      <c r="D233" s="33">
        <f>IF(C233&gt;0,C233*Calculator!$C$8/100/12,0)</f>
        <v/>
      </c>
      <c r="E233" s="32">
        <f>IF(C233&lt;=0,0,MIN(C233+D233,Calculator!$C$14))</f>
        <v/>
      </c>
      <c r="F233" s="34">
        <f>MAX(0,C233+D233-E233)</f>
        <v/>
      </c>
      <c r="G233" s="32">
        <f>J232</f>
        <v/>
      </c>
      <c r="H233" s="33">
        <f>IF(G233&gt;0,G233*Calculator!$C$8/100/12,0)</f>
        <v/>
      </c>
      <c r="I233" s="32">
        <f>IF(G233&lt;=0,0,MIN(G233+H233,Calculator!$C$15))</f>
        <v/>
      </c>
      <c r="J233" s="34">
        <f>MAX(0,G233+H233-I233)</f>
        <v/>
      </c>
    </row>
    <row r="234">
      <c r="A234" s="25" t="n">
        <v>227</v>
      </c>
      <c r="B234" s="26">
        <f>EDATE(Calculator!$C$12,226)</f>
        <v/>
      </c>
      <c r="C234" s="27">
        <f>F233</f>
        <v/>
      </c>
      <c r="D234" s="28">
        <f>IF(C234&gt;0,C234*Calculator!$C$8/100/12,0)</f>
        <v/>
      </c>
      <c r="E234" s="27">
        <f>IF(C234&lt;=0,0,MIN(C234+D234,Calculator!$C$14))</f>
        <v/>
      </c>
      <c r="F234" s="29">
        <f>MAX(0,C234+D234-E234)</f>
        <v/>
      </c>
      <c r="G234" s="27">
        <f>J233</f>
        <v/>
      </c>
      <c r="H234" s="28">
        <f>IF(G234&gt;0,G234*Calculator!$C$8/100/12,0)</f>
        <v/>
      </c>
      <c r="I234" s="27">
        <f>IF(G234&lt;=0,0,MIN(G234+H234,Calculator!$C$15))</f>
        <v/>
      </c>
      <c r="J234" s="29">
        <f>MAX(0,G234+H234-I234)</f>
        <v/>
      </c>
    </row>
    <row r="235">
      <c r="A235" s="30" t="n">
        <v>228</v>
      </c>
      <c r="B235" s="31">
        <f>EDATE(Calculator!$C$12,227)</f>
        <v/>
      </c>
      <c r="C235" s="32">
        <f>F234</f>
        <v/>
      </c>
      <c r="D235" s="33">
        <f>IF(C235&gt;0,C235*Calculator!$C$8/100/12,0)</f>
        <v/>
      </c>
      <c r="E235" s="32">
        <f>IF(C235&lt;=0,0,MIN(C235+D235,Calculator!$C$14))</f>
        <v/>
      </c>
      <c r="F235" s="34">
        <f>MAX(0,C235+D235-E235)</f>
        <v/>
      </c>
      <c r="G235" s="32">
        <f>J234</f>
        <v/>
      </c>
      <c r="H235" s="33">
        <f>IF(G235&gt;0,G235*Calculator!$C$8/100/12,0)</f>
        <v/>
      </c>
      <c r="I235" s="32">
        <f>IF(G235&lt;=0,0,MIN(G235+H235,Calculator!$C$15))</f>
        <v/>
      </c>
      <c r="J235" s="34">
        <f>MAX(0,G235+H235-I235)</f>
        <v/>
      </c>
    </row>
    <row r="236">
      <c r="A236" s="25" t="n">
        <v>229</v>
      </c>
      <c r="B236" s="26">
        <f>EDATE(Calculator!$C$12,228)</f>
        <v/>
      </c>
      <c r="C236" s="27">
        <f>F235</f>
        <v/>
      </c>
      <c r="D236" s="28">
        <f>IF(C236&gt;0,C236*Calculator!$C$8/100/12,0)</f>
        <v/>
      </c>
      <c r="E236" s="27">
        <f>IF(C236&lt;=0,0,MIN(C236+D236,Calculator!$C$14))</f>
        <v/>
      </c>
      <c r="F236" s="29">
        <f>MAX(0,C236+D236-E236)</f>
        <v/>
      </c>
      <c r="G236" s="27">
        <f>J235</f>
        <v/>
      </c>
      <c r="H236" s="28">
        <f>IF(G236&gt;0,G236*Calculator!$C$8/100/12,0)</f>
        <v/>
      </c>
      <c r="I236" s="27">
        <f>IF(G236&lt;=0,0,MIN(G236+H236,Calculator!$C$15))</f>
        <v/>
      </c>
      <c r="J236" s="29">
        <f>MAX(0,G236+H236-I236)</f>
        <v/>
      </c>
    </row>
    <row r="237">
      <c r="A237" s="30" t="n">
        <v>230</v>
      </c>
      <c r="B237" s="31">
        <f>EDATE(Calculator!$C$12,229)</f>
        <v/>
      </c>
      <c r="C237" s="32">
        <f>F236</f>
        <v/>
      </c>
      <c r="D237" s="33">
        <f>IF(C237&gt;0,C237*Calculator!$C$8/100/12,0)</f>
        <v/>
      </c>
      <c r="E237" s="32">
        <f>IF(C237&lt;=0,0,MIN(C237+D237,Calculator!$C$14))</f>
        <v/>
      </c>
      <c r="F237" s="34">
        <f>MAX(0,C237+D237-E237)</f>
        <v/>
      </c>
      <c r="G237" s="32">
        <f>J236</f>
        <v/>
      </c>
      <c r="H237" s="33">
        <f>IF(G237&gt;0,G237*Calculator!$C$8/100/12,0)</f>
        <v/>
      </c>
      <c r="I237" s="32">
        <f>IF(G237&lt;=0,0,MIN(G237+H237,Calculator!$C$15))</f>
        <v/>
      </c>
      <c r="J237" s="34">
        <f>MAX(0,G237+H237-I237)</f>
        <v/>
      </c>
    </row>
    <row r="238">
      <c r="A238" s="25" t="n">
        <v>231</v>
      </c>
      <c r="B238" s="26">
        <f>EDATE(Calculator!$C$12,230)</f>
        <v/>
      </c>
      <c r="C238" s="27">
        <f>F237</f>
        <v/>
      </c>
      <c r="D238" s="28">
        <f>IF(C238&gt;0,C238*Calculator!$C$8/100/12,0)</f>
        <v/>
      </c>
      <c r="E238" s="27">
        <f>IF(C238&lt;=0,0,MIN(C238+D238,Calculator!$C$14))</f>
        <v/>
      </c>
      <c r="F238" s="29">
        <f>MAX(0,C238+D238-E238)</f>
        <v/>
      </c>
      <c r="G238" s="27">
        <f>J237</f>
        <v/>
      </c>
      <c r="H238" s="28">
        <f>IF(G238&gt;0,G238*Calculator!$C$8/100/12,0)</f>
        <v/>
      </c>
      <c r="I238" s="27">
        <f>IF(G238&lt;=0,0,MIN(G238+H238,Calculator!$C$15))</f>
        <v/>
      </c>
      <c r="J238" s="29">
        <f>MAX(0,G238+H238-I238)</f>
        <v/>
      </c>
    </row>
    <row r="239">
      <c r="A239" s="30" t="n">
        <v>232</v>
      </c>
      <c r="B239" s="31">
        <f>EDATE(Calculator!$C$12,231)</f>
        <v/>
      </c>
      <c r="C239" s="32">
        <f>F238</f>
        <v/>
      </c>
      <c r="D239" s="33">
        <f>IF(C239&gt;0,C239*Calculator!$C$8/100/12,0)</f>
        <v/>
      </c>
      <c r="E239" s="32">
        <f>IF(C239&lt;=0,0,MIN(C239+D239,Calculator!$C$14))</f>
        <v/>
      </c>
      <c r="F239" s="34">
        <f>MAX(0,C239+D239-E239)</f>
        <v/>
      </c>
      <c r="G239" s="32">
        <f>J238</f>
        <v/>
      </c>
      <c r="H239" s="33">
        <f>IF(G239&gt;0,G239*Calculator!$C$8/100/12,0)</f>
        <v/>
      </c>
      <c r="I239" s="32">
        <f>IF(G239&lt;=0,0,MIN(G239+H239,Calculator!$C$15))</f>
        <v/>
      </c>
      <c r="J239" s="34">
        <f>MAX(0,G239+H239-I239)</f>
        <v/>
      </c>
    </row>
    <row r="240">
      <c r="A240" s="25" t="n">
        <v>233</v>
      </c>
      <c r="B240" s="26">
        <f>EDATE(Calculator!$C$12,232)</f>
        <v/>
      </c>
      <c r="C240" s="27">
        <f>F239</f>
        <v/>
      </c>
      <c r="D240" s="28">
        <f>IF(C240&gt;0,C240*Calculator!$C$8/100/12,0)</f>
        <v/>
      </c>
      <c r="E240" s="27">
        <f>IF(C240&lt;=0,0,MIN(C240+D240,Calculator!$C$14))</f>
        <v/>
      </c>
      <c r="F240" s="29">
        <f>MAX(0,C240+D240-E240)</f>
        <v/>
      </c>
      <c r="G240" s="27">
        <f>J239</f>
        <v/>
      </c>
      <c r="H240" s="28">
        <f>IF(G240&gt;0,G240*Calculator!$C$8/100/12,0)</f>
        <v/>
      </c>
      <c r="I240" s="27">
        <f>IF(G240&lt;=0,0,MIN(G240+H240,Calculator!$C$15))</f>
        <v/>
      </c>
      <c r="J240" s="29">
        <f>MAX(0,G240+H240-I240)</f>
        <v/>
      </c>
    </row>
    <row r="241">
      <c r="A241" s="30" t="n">
        <v>234</v>
      </c>
      <c r="B241" s="31">
        <f>EDATE(Calculator!$C$12,233)</f>
        <v/>
      </c>
      <c r="C241" s="32">
        <f>F240</f>
        <v/>
      </c>
      <c r="D241" s="33">
        <f>IF(C241&gt;0,C241*Calculator!$C$8/100/12,0)</f>
        <v/>
      </c>
      <c r="E241" s="32">
        <f>IF(C241&lt;=0,0,MIN(C241+D241,Calculator!$C$14))</f>
        <v/>
      </c>
      <c r="F241" s="34">
        <f>MAX(0,C241+D241-E241)</f>
        <v/>
      </c>
      <c r="G241" s="32">
        <f>J240</f>
        <v/>
      </c>
      <c r="H241" s="33">
        <f>IF(G241&gt;0,G241*Calculator!$C$8/100/12,0)</f>
        <v/>
      </c>
      <c r="I241" s="32">
        <f>IF(G241&lt;=0,0,MIN(G241+H241,Calculator!$C$15))</f>
        <v/>
      </c>
      <c r="J241" s="34">
        <f>MAX(0,G241+H241-I241)</f>
        <v/>
      </c>
    </row>
    <row r="242">
      <c r="A242" s="25" t="n">
        <v>235</v>
      </c>
      <c r="B242" s="26">
        <f>EDATE(Calculator!$C$12,234)</f>
        <v/>
      </c>
      <c r="C242" s="27">
        <f>F241</f>
        <v/>
      </c>
      <c r="D242" s="28">
        <f>IF(C242&gt;0,C242*Calculator!$C$8/100/12,0)</f>
        <v/>
      </c>
      <c r="E242" s="27">
        <f>IF(C242&lt;=0,0,MIN(C242+D242,Calculator!$C$14))</f>
        <v/>
      </c>
      <c r="F242" s="29">
        <f>MAX(0,C242+D242-E242)</f>
        <v/>
      </c>
      <c r="G242" s="27">
        <f>J241</f>
        <v/>
      </c>
      <c r="H242" s="28">
        <f>IF(G242&gt;0,G242*Calculator!$C$8/100/12,0)</f>
        <v/>
      </c>
      <c r="I242" s="27">
        <f>IF(G242&lt;=0,0,MIN(G242+H242,Calculator!$C$15))</f>
        <v/>
      </c>
      <c r="J242" s="29">
        <f>MAX(0,G242+H242-I242)</f>
        <v/>
      </c>
    </row>
    <row r="243">
      <c r="A243" s="30" t="n">
        <v>236</v>
      </c>
      <c r="B243" s="31">
        <f>EDATE(Calculator!$C$12,235)</f>
        <v/>
      </c>
      <c r="C243" s="32">
        <f>F242</f>
        <v/>
      </c>
      <c r="D243" s="33">
        <f>IF(C243&gt;0,C243*Calculator!$C$8/100/12,0)</f>
        <v/>
      </c>
      <c r="E243" s="32">
        <f>IF(C243&lt;=0,0,MIN(C243+D243,Calculator!$C$14))</f>
        <v/>
      </c>
      <c r="F243" s="34">
        <f>MAX(0,C243+D243-E243)</f>
        <v/>
      </c>
      <c r="G243" s="32">
        <f>J242</f>
        <v/>
      </c>
      <c r="H243" s="33">
        <f>IF(G243&gt;0,G243*Calculator!$C$8/100/12,0)</f>
        <v/>
      </c>
      <c r="I243" s="32">
        <f>IF(G243&lt;=0,0,MIN(G243+H243,Calculator!$C$15))</f>
        <v/>
      </c>
      <c r="J243" s="34">
        <f>MAX(0,G243+H243-I243)</f>
        <v/>
      </c>
    </row>
    <row r="244">
      <c r="A244" s="25" t="n">
        <v>237</v>
      </c>
      <c r="B244" s="26">
        <f>EDATE(Calculator!$C$12,236)</f>
        <v/>
      </c>
      <c r="C244" s="27">
        <f>F243</f>
        <v/>
      </c>
      <c r="D244" s="28">
        <f>IF(C244&gt;0,C244*Calculator!$C$8/100/12,0)</f>
        <v/>
      </c>
      <c r="E244" s="27">
        <f>IF(C244&lt;=0,0,MIN(C244+D244,Calculator!$C$14))</f>
        <v/>
      </c>
      <c r="F244" s="29">
        <f>MAX(0,C244+D244-E244)</f>
        <v/>
      </c>
      <c r="G244" s="27">
        <f>J243</f>
        <v/>
      </c>
      <c r="H244" s="28">
        <f>IF(G244&gt;0,G244*Calculator!$C$8/100/12,0)</f>
        <v/>
      </c>
      <c r="I244" s="27">
        <f>IF(G244&lt;=0,0,MIN(G244+H244,Calculator!$C$15))</f>
        <v/>
      </c>
      <c r="J244" s="29">
        <f>MAX(0,G244+H244-I244)</f>
        <v/>
      </c>
    </row>
    <row r="245">
      <c r="A245" s="30" t="n">
        <v>238</v>
      </c>
      <c r="B245" s="31">
        <f>EDATE(Calculator!$C$12,237)</f>
        <v/>
      </c>
      <c r="C245" s="32">
        <f>F244</f>
        <v/>
      </c>
      <c r="D245" s="33">
        <f>IF(C245&gt;0,C245*Calculator!$C$8/100/12,0)</f>
        <v/>
      </c>
      <c r="E245" s="32">
        <f>IF(C245&lt;=0,0,MIN(C245+D245,Calculator!$C$14))</f>
        <v/>
      </c>
      <c r="F245" s="34">
        <f>MAX(0,C245+D245-E245)</f>
        <v/>
      </c>
      <c r="G245" s="32">
        <f>J244</f>
        <v/>
      </c>
      <c r="H245" s="33">
        <f>IF(G245&gt;0,G245*Calculator!$C$8/100/12,0)</f>
        <v/>
      </c>
      <c r="I245" s="32">
        <f>IF(G245&lt;=0,0,MIN(G245+H245,Calculator!$C$15))</f>
        <v/>
      </c>
      <c r="J245" s="34">
        <f>MAX(0,G245+H245-I245)</f>
        <v/>
      </c>
    </row>
    <row r="246">
      <c r="A246" s="25" t="n">
        <v>239</v>
      </c>
      <c r="B246" s="26">
        <f>EDATE(Calculator!$C$12,238)</f>
        <v/>
      </c>
      <c r="C246" s="27">
        <f>F245</f>
        <v/>
      </c>
      <c r="D246" s="28">
        <f>IF(C246&gt;0,C246*Calculator!$C$8/100/12,0)</f>
        <v/>
      </c>
      <c r="E246" s="27">
        <f>IF(C246&lt;=0,0,MIN(C246+D246,Calculator!$C$14))</f>
        <v/>
      </c>
      <c r="F246" s="29">
        <f>MAX(0,C246+D246-E246)</f>
        <v/>
      </c>
      <c r="G246" s="27">
        <f>J245</f>
        <v/>
      </c>
      <c r="H246" s="28">
        <f>IF(G246&gt;0,G246*Calculator!$C$8/100/12,0)</f>
        <v/>
      </c>
      <c r="I246" s="27">
        <f>IF(G246&lt;=0,0,MIN(G246+H246,Calculator!$C$15))</f>
        <v/>
      </c>
      <c r="J246" s="29">
        <f>MAX(0,G246+H246-I246)</f>
        <v/>
      </c>
    </row>
    <row r="247">
      <c r="A247" s="30" t="n">
        <v>240</v>
      </c>
      <c r="B247" s="31">
        <f>EDATE(Calculator!$C$12,239)</f>
        <v/>
      </c>
      <c r="C247" s="32">
        <f>F246</f>
        <v/>
      </c>
      <c r="D247" s="33">
        <f>IF(C247&gt;0,C247*Calculator!$C$8/100/12,0)</f>
        <v/>
      </c>
      <c r="E247" s="32">
        <f>IF(C247&lt;=0,0,MIN(C247+D247,Calculator!$C$14))</f>
        <v/>
      </c>
      <c r="F247" s="34">
        <f>MAX(0,C247+D247-E247)</f>
        <v/>
      </c>
      <c r="G247" s="32">
        <f>J246</f>
        <v/>
      </c>
      <c r="H247" s="33">
        <f>IF(G247&gt;0,G247*Calculator!$C$8/100/12,0)</f>
        <v/>
      </c>
      <c r="I247" s="32">
        <f>IF(G247&lt;=0,0,MIN(G247+H247,Calculator!$C$15))</f>
        <v/>
      </c>
      <c r="J247" s="34">
        <f>MAX(0,G247+H247-I247)</f>
        <v/>
      </c>
    </row>
    <row r="248">
      <c r="A248" s="25" t="n">
        <v>241</v>
      </c>
      <c r="B248" s="26">
        <f>EDATE(Calculator!$C$12,240)</f>
        <v/>
      </c>
      <c r="C248" s="27">
        <f>F247</f>
        <v/>
      </c>
      <c r="D248" s="28">
        <f>IF(C248&gt;0,C248*Calculator!$C$8/100/12,0)</f>
        <v/>
      </c>
      <c r="E248" s="27">
        <f>IF(C248&lt;=0,0,MIN(C248+D248,Calculator!$C$14))</f>
        <v/>
      </c>
      <c r="F248" s="29">
        <f>MAX(0,C248+D248-E248)</f>
        <v/>
      </c>
      <c r="G248" s="27">
        <f>J247</f>
        <v/>
      </c>
      <c r="H248" s="28">
        <f>IF(G248&gt;0,G248*Calculator!$C$8/100/12,0)</f>
        <v/>
      </c>
      <c r="I248" s="27">
        <f>IF(G248&lt;=0,0,MIN(G248+H248,Calculator!$C$15))</f>
        <v/>
      </c>
      <c r="J248" s="29">
        <f>MAX(0,G248+H248-I248)</f>
        <v/>
      </c>
    </row>
    <row r="249">
      <c r="A249" s="30" t="n">
        <v>242</v>
      </c>
      <c r="B249" s="31">
        <f>EDATE(Calculator!$C$12,241)</f>
        <v/>
      </c>
      <c r="C249" s="32">
        <f>F248</f>
        <v/>
      </c>
      <c r="D249" s="33">
        <f>IF(C249&gt;0,C249*Calculator!$C$8/100/12,0)</f>
        <v/>
      </c>
      <c r="E249" s="32">
        <f>IF(C249&lt;=0,0,MIN(C249+D249,Calculator!$C$14))</f>
        <v/>
      </c>
      <c r="F249" s="34">
        <f>MAX(0,C249+D249-E249)</f>
        <v/>
      </c>
      <c r="G249" s="32">
        <f>J248</f>
        <v/>
      </c>
      <c r="H249" s="33">
        <f>IF(G249&gt;0,G249*Calculator!$C$8/100/12,0)</f>
        <v/>
      </c>
      <c r="I249" s="32">
        <f>IF(G249&lt;=0,0,MIN(G249+H249,Calculator!$C$15))</f>
        <v/>
      </c>
      <c r="J249" s="34">
        <f>MAX(0,G249+H249-I249)</f>
        <v/>
      </c>
    </row>
    <row r="250">
      <c r="A250" s="25" t="n">
        <v>243</v>
      </c>
      <c r="B250" s="26">
        <f>EDATE(Calculator!$C$12,242)</f>
        <v/>
      </c>
      <c r="C250" s="27">
        <f>F249</f>
        <v/>
      </c>
      <c r="D250" s="28">
        <f>IF(C250&gt;0,C250*Calculator!$C$8/100/12,0)</f>
        <v/>
      </c>
      <c r="E250" s="27">
        <f>IF(C250&lt;=0,0,MIN(C250+D250,Calculator!$C$14))</f>
        <v/>
      </c>
      <c r="F250" s="29">
        <f>MAX(0,C250+D250-E250)</f>
        <v/>
      </c>
      <c r="G250" s="27">
        <f>J249</f>
        <v/>
      </c>
      <c r="H250" s="28">
        <f>IF(G250&gt;0,G250*Calculator!$C$8/100/12,0)</f>
        <v/>
      </c>
      <c r="I250" s="27">
        <f>IF(G250&lt;=0,0,MIN(G250+H250,Calculator!$C$15))</f>
        <v/>
      </c>
      <c r="J250" s="29">
        <f>MAX(0,G250+H250-I250)</f>
        <v/>
      </c>
    </row>
    <row r="251">
      <c r="A251" s="30" t="n">
        <v>244</v>
      </c>
      <c r="B251" s="31">
        <f>EDATE(Calculator!$C$12,243)</f>
        <v/>
      </c>
      <c r="C251" s="32">
        <f>F250</f>
        <v/>
      </c>
      <c r="D251" s="33">
        <f>IF(C251&gt;0,C251*Calculator!$C$8/100/12,0)</f>
        <v/>
      </c>
      <c r="E251" s="32">
        <f>IF(C251&lt;=0,0,MIN(C251+D251,Calculator!$C$14))</f>
        <v/>
      </c>
      <c r="F251" s="34">
        <f>MAX(0,C251+D251-E251)</f>
        <v/>
      </c>
      <c r="G251" s="32">
        <f>J250</f>
        <v/>
      </c>
      <c r="H251" s="33">
        <f>IF(G251&gt;0,G251*Calculator!$C$8/100/12,0)</f>
        <v/>
      </c>
      <c r="I251" s="32">
        <f>IF(G251&lt;=0,0,MIN(G251+H251,Calculator!$C$15))</f>
        <v/>
      </c>
      <c r="J251" s="34">
        <f>MAX(0,G251+H251-I251)</f>
        <v/>
      </c>
    </row>
    <row r="252">
      <c r="A252" s="25" t="n">
        <v>245</v>
      </c>
      <c r="B252" s="26">
        <f>EDATE(Calculator!$C$12,244)</f>
        <v/>
      </c>
      <c r="C252" s="27">
        <f>F251</f>
        <v/>
      </c>
      <c r="D252" s="28">
        <f>IF(C252&gt;0,C252*Calculator!$C$8/100/12,0)</f>
        <v/>
      </c>
      <c r="E252" s="27">
        <f>IF(C252&lt;=0,0,MIN(C252+D252,Calculator!$C$14))</f>
        <v/>
      </c>
      <c r="F252" s="29">
        <f>MAX(0,C252+D252-E252)</f>
        <v/>
      </c>
      <c r="G252" s="27">
        <f>J251</f>
        <v/>
      </c>
      <c r="H252" s="28">
        <f>IF(G252&gt;0,G252*Calculator!$C$8/100/12,0)</f>
        <v/>
      </c>
      <c r="I252" s="27">
        <f>IF(G252&lt;=0,0,MIN(G252+H252,Calculator!$C$15))</f>
        <v/>
      </c>
      <c r="J252" s="29">
        <f>MAX(0,G252+H252-I252)</f>
        <v/>
      </c>
    </row>
    <row r="253">
      <c r="A253" s="30" t="n">
        <v>246</v>
      </c>
      <c r="B253" s="31">
        <f>EDATE(Calculator!$C$12,245)</f>
        <v/>
      </c>
      <c r="C253" s="32">
        <f>F252</f>
        <v/>
      </c>
      <c r="D253" s="33">
        <f>IF(C253&gt;0,C253*Calculator!$C$8/100/12,0)</f>
        <v/>
      </c>
      <c r="E253" s="32">
        <f>IF(C253&lt;=0,0,MIN(C253+D253,Calculator!$C$14))</f>
        <v/>
      </c>
      <c r="F253" s="34">
        <f>MAX(0,C253+D253-E253)</f>
        <v/>
      </c>
      <c r="G253" s="32">
        <f>J252</f>
        <v/>
      </c>
      <c r="H253" s="33">
        <f>IF(G253&gt;0,G253*Calculator!$C$8/100/12,0)</f>
        <v/>
      </c>
      <c r="I253" s="32">
        <f>IF(G253&lt;=0,0,MIN(G253+H253,Calculator!$C$15))</f>
        <v/>
      </c>
      <c r="J253" s="34">
        <f>MAX(0,G253+H253-I253)</f>
        <v/>
      </c>
    </row>
    <row r="254">
      <c r="A254" s="25" t="n">
        <v>247</v>
      </c>
      <c r="B254" s="26">
        <f>EDATE(Calculator!$C$12,246)</f>
        <v/>
      </c>
      <c r="C254" s="27">
        <f>F253</f>
        <v/>
      </c>
      <c r="D254" s="28">
        <f>IF(C254&gt;0,C254*Calculator!$C$8/100/12,0)</f>
        <v/>
      </c>
      <c r="E254" s="27">
        <f>IF(C254&lt;=0,0,MIN(C254+D254,Calculator!$C$14))</f>
        <v/>
      </c>
      <c r="F254" s="29">
        <f>MAX(0,C254+D254-E254)</f>
        <v/>
      </c>
      <c r="G254" s="27">
        <f>J253</f>
        <v/>
      </c>
      <c r="H254" s="28">
        <f>IF(G254&gt;0,G254*Calculator!$C$8/100/12,0)</f>
        <v/>
      </c>
      <c r="I254" s="27">
        <f>IF(G254&lt;=0,0,MIN(G254+H254,Calculator!$C$15))</f>
        <v/>
      </c>
      <c r="J254" s="29">
        <f>MAX(0,G254+H254-I254)</f>
        <v/>
      </c>
    </row>
    <row r="255">
      <c r="A255" s="30" t="n">
        <v>248</v>
      </c>
      <c r="B255" s="31">
        <f>EDATE(Calculator!$C$12,247)</f>
        <v/>
      </c>
      <c r="C255" s="32">
        <f>F254</f>
        <v/>
      </c>
      <c r="D255" s="33">
        <f>IF(C255&gt;0,C255*Calculator!$C$8/100/12,0)</f>
        <v/>
      </c>
      <c r="E255" s="32">
        <f>IF(C255&lt;=0,0,MIN(C255+D255,Calculator!$C$14))</f>
        <v/>
      </c>
      <c r="F255" s="34">
        <f>MAX(0,C255+D255-E255)</f>
        <v/>
      </c>
      <c r="G255" s="32">
        <f>J254</f>
        <v/>
      </c>
      <c r="H255" s="33">
        <f>IF(G255&gt;0,G255*Calculator!$C$8/100/12,0)</f>
        <v/>
      </c>
      <c r="I255" s="32">
        <f>IF(G255&lt;=0,0,MIN(G255+H255,Calculator!$C$15))</f>
        <v/>
      </c>
      <c r="J255" s="34">
        <f>MAX(0,G255+H255-I255)</f>
        <v/>
      </c>
    </row>
    <row r="256">
      <c r="A256" s="25" t="n">
        <v>249</v>
      </c>
      <c r="B256" s="26">
        <f>EDATE(Calculator!$C$12,248)</f>
        <v/>
      </c>
      <c r="C256" s="27">
        <f>F255</f>
        <v/>
      </c>
      <c r="D256" s="28">
        <f>IF(C256&gt;0,C256*Calculator!$C$8/100/12,0)</f>
        <v/>
      </c>
      <c r="E256" s="27">
        <f>IF(C256&lt;=0,0,MIN(C256+D256,Calculator!$C$14))</f>
        <v/>
      </c>
      <c r="F256" s="29">
        <f>MAX(0,C256+D256-E256)</f>
        <v/>
      </c>
      <c r="G256" s="27">
        <f>J255</f>
        <v/>
      </c>
      <c r="H256" s="28">
        <f>IF(G256&gt;0,G256*Calculator!$C$8/100/12,0)</f>
        <v/>
      </c>
      <c r="I256" s="27">
        <f>IF(G256&lt;=0,0,MIN(G256+H256,Calculator!$C$15))</f>
        <v/>
      </c>
      <c r="J256" s="29">
        <f>MAX(0,G256+H256-I256)</f>
        <v/>
      </c>
    </row>
    <row r="257">
      <c r="A257" s="30" t="n">
        <v>250</v>
      </c>
      <c r="B257" s="31">
        <f>EDATE(Calculator!$C$12,249)</f>
        <v/>
      </c>
      <c r="C257" s="32">
        <f>F256</f>
        <v/>
      </c>
      <c r="D257" s="33">
        <f>IF(C257&gt;0,C257*Calculator!$C$8/100/12,0)</f>
        <v/>
      </c>
      <c r="E257" s="32">
        <f>IF(C257&lt;=0,0,MIN(C257+D257,Calculator!$C$14))</f>
        <v/>
      </c>
      <c r="F257" s="34">
        <f>MAX(0,C257+D257-E257)</f>
        <v/>
      </c>
      <c r="G257" s="32">
        <f>J256</f>
        <v/>
      </c>
      <c r="H257" s="33">
        <f>IF(G257&gt;0,G257*Calculator!$C$8/100/12,0)</f>
        <v/>
      </c>
      <c r="I257" s="32">
        <f>IF(G257&lt;=0,0,MIN(G257+H257,Calculator!$C$15))</f>
        <v/>
      </c>
      <c r="J257" s="34">
        <f>MAX(0,G257+H257-I257)</f>
        <v/>
      </c>
    </row>
    <row r="258">
      <c r="A258" s="25" t="n">
        <v>251</v>
      </c>
      <c r="B258" s="26">
        <f>EDATE(Calculator!$C$12,250)</f>
        <v/>
      </c>
      <c r="C258" s="27">
        <f>F257</f>
        <v/>
      </c>
      <c r="D258" s="28">
        <f>IF(C258&gt;0,C258*Calculator!$C$8/100/12,0)</f>
        <v/>
      </c>
      <c r="E258" s="27">
        <f>IF(C258&lt;=0,0,MIN(C258+D258,Calculator!$C$14))</f>
        <v/>
      </c>
      <c r="F258" s="29">
        <f>MAX(0,C258+D258-E258)</f>
        <v/>
      </c>
      <c r="G258" s="27">
        <f>J257</f>
        <v/>
      </c>
      <c r="H258" s="28">
        <f>IF(G258&gt;0,G258*Calculator!$C$8/100/12,0)</f>
        <v/>
      </c>
      <c r="I258" s="27">
        <f>IF(G258&lt;=0,0,MIN(G258+H258,Calculator!$C$15))</f>
        <v/>
      </c>
      <c r="J258" s="29">
        <f>MAX(0,G258+H258-I258)</f>
        <v/>
      </c>
    </row>
    <row r="259">
      <c r="A259" s="30" t="n">
        <v>252</v>
      </c>
      <c r="B259" s="31">
        <f>EDATE(Calculator!$C$12,251)</f>
        <v/>
      </c>
      <c r="C259" s="32">
        <f>F258</f>
        <v/>
      </c>
      <c r="D259" s="33">
        <f>IF(C259&gt;0,C259*Calculator!$C$8/100/12,0)</f>
        <v/>
      </c>
      <c r="E259" s="32">
        <f>IF(C259&lt;=0,0,MIN(C259+D259,Calculator!$C$14))</f>
        <v/>
      </c>
      <c r="F259" s="34">
        <f>MAX(0,C259+D259-E259)</f>
        <v/>
      </c>
      <c r="G259" s="32">
        <f>J258</f>
        <v/>
      </c>
      <c r="H259" s="33">
        <f>IF(G259&gt;0,G259*Calculator!$C$8/100/12,0)</f>
        <v/>
      </c>
      <c r="I259" s="32">
        <f>IF(G259&lt;=0,0,MIN(G259+H259,Calculator!$C$15))</f>
        <v/>
      </c>
      <c r="J259" s="34">
        <f>MAX(0,G259+H259-I259)</f>
        <v/>
      </c>
    </row>
    <row r="260">
      <c r="A260" s="25" t="n">
        <v>253</v>
      </c>
      <c r="B260" s="26">
        <f>EDATE(Calculator!$C$12,252)</f>
        <v/>
      </c>
      <c r="C260" s="27">
        <f>F259</f>
        <v/>
      </c>
      <c r="D260" s="28">
        <f>IF(C260&gt;0,C260*Calculator!$C$8/100/12,0)</f>
        <v/>
      </c>
      <c r="E260" s="27">
        <f>IF(C260&lt;=0,0,MIN(C260+D260,Calculator!$C$14))</f>
        <v/>
      </c>
      <c r="F260" s="29">
        <f>MAX(0,C260+D260-E260)</f>
        <v/>
      </c>
      <c r="G260" s="27">
        <f>J259</f>
        <v/>
      </c>
      <c r="H260" s="28">
        <f>IF(G260&gt;0,G260*Calculator!$C$8/100/12,0)</f>
        <v/>
      </c>
      <c r="I260" s="27">
        <f>IF(G260&lt;=0,0,MIN(G260+H260,Calculator!$C$15))</f>
        <v/>
      </c>
      <c r="J260" s="29">
        <f>MAX(0,G260+H260-I260)</f>
        <v/>
      </c>
    </row>
    <row r="261">
      <c r="A261" s="30" t="n">
        <v>254</v>
      </c>
      <c r="B261" s="31">
        <f>EDATE(Calculator!$C$12,253)</f>
        <v/>
      </c>
      <c r="C261" s="32">
        <f>F260</f>
        <v/>
      </c>
      <c r="D261" s="33">
        <f>IF(C261&gt;0,C261*Calculator!$C$8/100/12,0)</f>
        <v/>
      </c>
      <c r="E261" s="32">
        <f>IF(C261&lt;=0,0,MIN(C261+D261,Calculator!$C$14))</f>
        <v/>
      </c>
      <c r="F261" s="34">
        <f>MAX(0,C261+D261-E261)</f>
        <v/>
      </c>
      <c r="G261" s="32">
        <f>J260</f>
        <v/>
      </c>
      <c r="H261" s="33">
        <f>IF(G261&gt;0,G261*Calculator!$C$8/100/12,0)</f>
        <v/>
      </c>
      <c r="I261" s="32">
        <f>IF(G261&lt;=0,0,MIN(G261+H261,Calculator!$C$15))</f>
        <v/>
      </c>
      <c r="J261" s="34">
        <f>MAX(0,G261+H261-I261)</f>
        <v/>
      </c>
    </row>
    <row r="262">
      <c r="A262" s="25" t="n">
        <v>255</v>
      </c>
      <c r="B262" s="26">
        <f>EDATE(Calculator!$C$12,254)</f>
        <v/>
      </c>
      <c r="C262" s="27">
        <f>F261</f>
        <v/>
      </c>
      <c r="D262" s="28">
        <f>IF(C262&gt;0,C262*Calculator!$C$8/100/12,0)</f>
        <v/>
      </c>
      <c r="E262" s="27">
        <f>IF(C262&lt;=0,0,MIN(C262+D262,Calculator!$C$14))</f>
        <v/>
      </c>
      <c r="F262" s="29">
        <f>MAX(0,C262+D262-E262)</f>
        <v/>
      </c>
      <c r="G262" s="27">
        <f>J261</f>
        <v/>
      </c>
      <c r="H262" s="28">
        <f>IF(G262&gt;0,G262*Calculator!$C$8/100/12,0)</f>
        <v/>
      </c>
      <c r="I262" s="27">
        <f>IF(G262&lt;=0,0,MIN(G262+H262,Calculator!$C$15))</f>
        <v/>
      </c>
      <c r="J262" s="29">
        <f>MAX(0,G262+H262-I262)</f>
        <v/>
      </c>
    </row>
    <row r="263">
      <c r="A263" s="30" t="n">
        <v>256</v>
      </c>
      <c r="B263" s="31">
        <f>EDATE(Calculator!$C$12,255)</f>
        <v/>
      </c>
      <c r="C263" s="32">
        <f>F262</f>
        <v/>
      </c>
      <c r="D263" s="33">
        <f>IF(C263&gt;0,C263*Calculator!$C$8/100/12,0)</f>
        <v/>
      </c>
      <c r="E263" s="32">
        <f>IF(C263&lt;=0,0,MIN(C263+D263,Calculator!$C$14))</f>
        <v/>
      </c>
      <c r="F263" s="34">
        <f>MAX(0,C263+D263-E263)</f>
        <v/>
      </c>
      <c r="G263" s="32">
        <f>J262</f>
        <v/>
      </c>
      <c r="H263" s="33">
        <f>IF(G263&gt;0,G263*Calculator!$C$8/100/12,0)</f>
        <v/>
      </c>
      <c r="I263" s="32">
        <f>IF(G263&lt;=0,0,MIN(G263+H263,Calculator!$C$15))</f>
        <v/>
      </c>
      <c r="J263" s="34">
        <f>MAX(0,G263+H263-I263)</f>
        <v/>
      </c>
    </row>
    <row r="264">
      <c r="A264" s="25" t="n">
        <v>257</v>
      </c>
      <c r="B264" s="26">
        <f>EDATE(Calculator!$C$12,256)</f>
        <v/>
      </c>
      <c r="C264" s="27">
        <f>F263</f>
        <v/>
      </c>
      <c r="D264" s="28">
        <f>IF(C264&gt;0,C264*Calculator!$C$8/100/12,0)</f>
        <v/>
      </c>
      <c r="E264" s="27">
        <f>IF(C264&lt;=0,0,MIN(C264+D264,Calculator!$C$14))</f>
        <v/>
      </c>
      <c r="F264" s="29">
        <f>MAX(0,C264+D264-E264)</f>
        <v/>
      </c>
      <c r="G264" s="27">
        <f>J263</f>
        <v/>
      </c>
      <c r="H264" s="28">
        <f>IF(G264&gt;0,G264*Calculator!$C$8/100/12,0)</f>
        <v/>
      </c>
      <c r="I264" s="27">
        <f>IF(G264&lt;=0,0,MIN(G264+H264,Calculator!$C$15))</f>
        <v/>
      </c>
      <c r="J264" s="29">
        <f>MAX(0,G264+H264-I264)</f>
        <v/>
      </c>
    </row>
    <row r="265">
      <c r="A265" s="30" t="n">
        <v>258</v>
      </c>
      <c r="B265" s="31">
        <f>EDATE(Calculator!$C$12,257)</f>
        <v/>
      </c>
      <c r="C265" s="32">
        <f>F264</f>
        <v/>
      </c>
      <c r="D265" s="33">
        <f>IF(C265&gt;0,C265*Calculator!$C$8/100/12,0)</f>
        <v/>
      </c>
      <c r="E265" s="32">
        <f>IF(C265&lt;=0,0,MIN(C265+D265,Calculator!$C$14))</f>
        <v/>
      </c>
      <c r="F265" s="34">
        <f>MAX(0,C265+D265-E265)</f>
        <v/>
      </c>
      <c r="G265" s="32">
        <f>J264</f>
        <v/>
      </c>
      <c r="H265" s="33">
        <f>IF(G265&gt;0,G265*Calculator!$C$8/100/12,0)</f>
        <v/>
      </c>
      <c r="I265" s="32">
        <f>IF(G265&lt;=0,0,MIN(G265+H265,Calculator!$C$15))</f>
        <v/>
      </c>
      <c r="J265" s="34">
        <f>MAX(0,G265+H265-I265)</f>
        <v/>
      </c>
    </row>
    <row r="266">
      <c r="A266" s="25" t="n">
        <v>259</v>
      </c>
      <c r="B266" s="26">
        <f>EDATE(Calculator!$C$12,258)</f>
        <v/>
      </c>
      <c r="C266" s="27">
        <f>F265</f>
        <v/>
      </c>
      <c r="D266" s="28">
        <f>IF(C266&gt;0,C266*Calculator!$C$8/100/12,0)</f>
        <v/>
      </c>
      <c r="E266" s="27">
        <f>IF(C266&lt;=0,0,MIN(C266+D266,Calculator!$C$14))</f>
        <v/>
      </c>
      <c r="F266" s="29">
        <f>MAX(0,C266+D266-E266)</f>
        <v/>
      </c>
      <c r="G266" s="27">
        <f>J265</f>
        <v/>
      </c>
      <c r="H266" s="28">
        <f>IF(G266&gt;0,G266*Calculator!$C$8/100/12,0)</f>
        <v/>
      </c>
      <c r="I266" s="27">
        <f>IF(G266&lt;=0,0,MIN(G266+H266,Calculator!$C$15))</f>
        <v/>
      </c>
      <c r="J266" s="29">
        <f>MAX(0,G266+H266-I266)</f>
        <v/>
      </c>
    </row>
    <row r="267">
      <c r="A267" s="30" t="n">
        <v>260</v>
      </c>
      <c r="B267" s="31">
        <f>EDATE(Calculator!$C$12,259)</f>
        <v/>
      </c>
      <c r="C267" s="32">
        <f>F266</f>
        <v/>
      </c>
      <c r="D267" s="33">
        <f>IF(C267&gt;0,C267*Calculator!$C$8/100/12,0)</f>
        <v/>
      </c>
      <c r="E267" s="32">
        <f>IF(C267&lt;=0,0,MIN(C267+D267,Calculator!$C$14))</f>
        <v/>
      </c>
      <c r="F267" s="34">
        <f>MAX(0,C267+D267-E267)</f>
        <v/>
      </c>
      <c r="G267" s="32">
        <f>J266</f>
        <v/>
      </c>
      <c r="H267" s="33">
        <f>IF(G267&gt;0,G267*Calculator!$C$8/100/12,0)</f>
        <v/>
      </c>
      <c r="I267" s="32">
        <f>IF(G267&lt;=0,0,MIN(G267+H267,Calculator!$C$15))</f>
        <v/>
      </c>
      <c r="J267" s="34">
        <f>MAX(0,G267+H267-I267)</f>
        <v/>
      </c>
    </row>
    <row r="268">
      <c r="A268" s="25" t="n">
        <v>261</v>
      </c>
      <c r="B268" s="26">
        <f>EDATE(Calculator!$C$12,260)</f>
        <v/>
      </c>
      <c r="C268" s="27">
        <f>F267</f>
        <v/>
      </c>
      <c r="D268" s="28">
        <f>IF(C268&gt;0,C268*Calculator!$C$8/100/12,0)</f>
        <v/>
      </c>
      <c r="E268" s="27">
        <f>IF(C268&lt;=0,0,MIN(C268+D268,Calculator!$C$14))</f>
        <v/>
      </c>
      <c r="F268" s="29">
        <f>MAX(0,C268+D268-E268)</f>
        <v/>
      </c>
      <c r="G268" s="27">
        <f>J267</f>
        <v/>
      </c>
      <c r="H268" s="28">
        <f>IF(G268&gt;0,G268*Calculator!$C$8/100/12,0)</f>
        <v/>
      </c>
      <c r="I268" s="27">
        <f>IF(G268&lt;=0,0,MIN(G268+H268,Calculator!$C$15))</f>
        <v/>
      </c>
      <c r="J268" s="29">
        <f>MAX(0,G268+H268-I268)</f>
        <v/>
      </c>
    </row>
    <row r="269">
      <c r="A269" s="30" t="n">
        <v>262</v>
      </c>
      <c r="B269" s="31">
        <f>EDATE(Calculator!$C$12,261)</f>
        <v/>
      </c>
      <c r="C269" s="32">
        <f>F268</f>
        <v/>
      </c>
      <c r="D269" s="33">
        <f>IF(C269&gt;0,C269*Calculator!$C$8/100/12,0)</f>
        <v/>
      </c>
      <c r="E269" s="32">
        <f>IF(C269&lt;=0,0,MIN(C269+D269,Calculator!$C$14))</f>
        <v/>
      </c>
      <c r="F269" s="34">
        <f>MAX(0,C269+D269-E269)</f>
        <v/>
      </c>
      <c r="G269" s="32">
        <f>J268</f>
        <v/>
      </c>
      <c r="H269" s="33">
        <f>IF(G269&gt;0,G269*Calculator!$C$8/100/12,0)</f>
        <v/>
      </c>
      <c r="I269" s="32">
        <f>IF(G269&lt;=0,0,MIN(G269+H269,Calculator!$C$15))</f>
        <v/>
      </c>
      <c r="J269" s="34">
        <f>MAX(0,G269+H269-I269)</f>
        <v/>
      </c>
    </row>
    <row r="270">
      <c r="A270" s="25" t="n">
        <v>263</v>
      </c>
      <c r="B270" s="26">
        <f>EDATE(Calculator!$C$12,262)</f>
        <v/>
      </c>
      <c r="C270" s="27">
        <f>F269</f>
        <v/>
      </c>
      <c r="D270" s="28">
        <f>IF(C270&gt;0,C270*Calculator!$C$8/100/12,0)</f>
        <v/>
      </c>
      <c r="E270" s="27">
        <f>IF(C270&lt;=0,0,MIN(C270+D270,Calculator!$C$14))</f>
        <v/>
      </c>
      <c r="F270" s="29">
        <f>MAX(0,C270+D270-E270)</f>
        <v/>
      </c>
      <c r="G270" s="27">
        <f>J269</f>
        <v/>
      </c>
      <c r="H270" s="28">
        <f>IF(G270&gt;0,G270*Calculator!$C$8/100/12,0)</f>
        <v/>
      </c>
      <c r="I270" s="27">
        <f>IF(G270&lt;=0,0,MIN(G270+H270,Calculator!$C$15))</f>
        <v/>
      </c>
      <c r="J270" s="29">
        <f>MAX(0,G270+H270-I270)</f>
        <v/>
      </c>
    </row>
    <row r="271">
      <c r="A271" s="30" t="n">
        <v>264</v>
      </c>
      <c r="B271" s="31">
        <f>EDATE(Calculator!$C$12,263)</f>
        <v/>
      </c>
      <c r="C271" s="32">
        <f>F270</f>
        <v/>
      </c>
      <c r="D271" s="33">
        <f>IF(C271&gt;0,C271*Calculator!$C$8/100/12,0)</f>
        <v/>
      </c>
      <c r="E271" s="32">
        <f>IF(C271&lt;=0,0,MIN(C271+D271,Calculator!$C$14))</f>
        <v/>
      </c>
      <c r="F271" s="34">
        <f>MAX(0,C271+D271-E271)</f>
        <v/>
      </c>
      <c r="G271" s="32">
        <f>J270</f>
        <v/>
      </c>
      <c r="H271" s="33">
        <f>IF(G271&gt;0,G271*Calculator!$C$8/100/12,0)</f>
        <v/>
      </c>
      <c r="I271" s="32">
        <f>IF(G271&lt;=0,0,MIN(G271+H271,Calculator!$C$15))</f>
        <v/>
      </c>
      <c r="J271" s="34">
        <f>MAX(0,G271+H271-I271)</f>
        <v/>
      </c>
    </row>
    <row r="272">
      <c r="A272" s="25" t="n">
        <v>265</v>
      </c>
      <c r="B272" s="26">
        <f>EDATE(Calculator!$C$12,264)</f>
        <v/>
      </c>
      <c r="C272" s="27">
        <f>F271</f>
        <v/>
      </c>
      <c r="D272" s="28">
        <f>IF(C272&gt;0,C272*Calculator!$C$8/100/12,0)</f>
        <v/>
      </c>
      <c r="E272" s="27">
        <f>IF(C272&lt;=0,0,MIN(C272+D272,Calculator!$C$14))</f>
        <v/>
      </c>
      <c r="F272" s="29">
        <f>MAX(0,C272+D272-E272)</f>
        <v/>
      </c>
      <c r="G272" s="27">
        <f>J271</f>
        <v/>
      </c>
      <c r="H272" s="28">
        <f>IF(G272&gt;0,G272*Calculator!$C$8/100/12,0)</f>
        <v/>
      </c>
      <c r="I272" s="27">
        <f>IF(G272&lt;=0,0,MIN(G272+H272,Calculator!$C$15))</f>
        <v/>
      </c>
      <c r="J272" s="29">
        <f>MAX(0,G272+H272-I272)</f>
        <v/>
      </c>
    </row>
    <row r="273">
      <c r="A273" s="30" t="n">
        <v>266</v>
      </c>
      <c r="B273" s="31">
        <f>EDATE(Calculator!$C$12,265)</f>
        <v/>
      </c>
      <c r="C273" s="32">
        <f>F272</f>
        <v/>
      </c>
      <c r="D273" s="33">
        <f>IF(C273&gt;0,C273*Calculator!$C$8/100/12,0)</f>
        <v/>
      </c>
      <c r="E273" s="32">
        <f>IF(C273&lt;=0,0,MIN(C273+D273,Calculator!$C$14))</f>
        <v/>
      </c>
      <c r="F273" s="34">
        <f>MAX(0,C273+D273-E273)</f>
        <v/>
      </c>
      <c r="G273" s="32">
        <f>J272</f>
        <v/>
      </c>
      <c r="H273" s="33">
        <f>IF(G273&gt;0,G273*Calculator!$C$8/100/12,0)</f>
        <v/>
      </c>
      <c r="I273" s="32">
        <f>IF(G273&lt;=0,0,MIN(G273+H273,Calculator!$C$15))</f>
        <v/>
      </c>
      <c r="J273" s="34">
        <f>MAX(0,G273+H273-I273)</f>
        <v/>
      </c>
    </row>
    <row r="274">
      <c r="A274" s="25" t="n">
        <v>267</v>
      </c>
      <c r="B274" s="26">
        <f>EDATE(Calculator!$C$12,266)</f>
        <v/>
      </c>
      <c r="C274" s="27">
        <f>F273</f>
        <v/>
      </c>
      <c r="D274" s="28">
        <f>IF(C274&gt;0,C274*Calculator!$C$8/100/12,0)</f>
        <v/>
      </c>
      <c r="E274" s="27">
        <f>IF(C274&lt;=0,0,MIN(C274+D274,Calculator!$C$14))</f>
        <v/>
      </c>
      <c r="F274" s="29">
        <f>MAX(0,C274+D274-E274)</f>
        <v/>
      </c>
      <c r="G274" s="27">
        <f>J273</f>
        <v/>
      </c>
      <c r="H274" s="28">
        <f>IF(G274&gt;0,G274*Calculator!$C$8/100/12,0)</f>
        <v/>
      </c>
      <c r="I274" s="27">
        <f>IF(G274&lt;=0,0,MIN(G274+H274,Calculator!$C$15))</f>
        <v/>
      </c>
      <c r="J274" s="29">
        <f>MAX(0,G274+H274-I274)</f>
        <v/>
      </c>
    </row>
    <row r="275">
      <c r="A275" s="30" t="n">
        <v>268</v>
      </c>
      <c r="B275" s="31">
        <f>EDATE(Calculator!$C$12,267)</f>
        <v/>
      </c>
      <c r="C275" s="32">
        <f>F274</f>
        <v/>
      </c>
      <c r="D275" s="33">
        <f>IF(C275&gt;0,C275*Calculator!$C$8/100/12,0)</f>
        <v/>
      </c>
      <c r="E275" s="32">
        <f>IF(C275&lt;=0,0,MIN(C275+D275,Calculator!$C$14))</f>
        <v/>
      </c>
      <c r="F275" s="34">
        <f>MAX(0,C275+D275-E275)</f>
        <v/>
      </c>
      <c r="G275" s="32">
        <f>J274</f>
        <v/>
      </c>
      <c r="H275" s="33">
        <f>IF(G275&gt;0,G275*Calculator!$C$8/100/12,0)</f>
        <v/>
      </c>
      <c r="I275" s="32">
        <f>IF(G275&lt;=0,0,MIN(G275+H275,Calculator!$C$15))</f>
        <v/>
      </c>
      <c r="J275" s="34">
        <f>MAX(0,G275+H275-I275)</f>
        <v/>
      </c>
    </row>
    <row r="276">
      <c r="A276" s="25" t="n">
        <v>269</v>
      </c>
      <c r="B276" s="26">
        <f>EDATE(Calculator!$C$12,268)</f>
        <v/>
      </c>
      <c r="C276" s="27">
        <f>F275</f>
        <v/>
      </c>
      <c r="D276" s="28">
        <f>IF(C276&gt;0,C276*Calculator!$C$8/100/12,0)</f>
        <v/>
      </c>
      <c r="E276" s="27">
        <f>IF(C276&lt;=0,0,MIN(C276+D276,Calculator!$C$14))</f>
        <v/>
      </c>
      <c r="F276" s="29">
        <f>MAX(0,C276+D276-E276)</f>
        <v/>
      </c>
      <c r="G276" s="27">
        <f>J275</f>
        <v/>
      </c>
      <c r="H276" s="28">
        <f>IF(G276&gt;0,G276*Calculator!$C$8/100/12,0)</f>
        <v/>
      </c>
      <c r="I276" s="27">
        <f>IF(G276&lt;=0,0,MIN(G276+H276,Calculator!$C$15))</f>
        <v/>
      </c>
      <c r="J276" s="29">
        <f>MAX(0,G276+H276-I276)</f>
        <v/>
      </c>
    </row>
    <row r="277">
      <c r="A277" s="30" t="n">
        <v>270</v>
      </c>
      <c r="B277" s="31">
        <f>EDATE(Calculator!$C$12,269)</f>
        <v/>
      </c>
      <c r="C277" s="32">
        <f>F276</f>
        <v/>
      </c>
      <c r="D277" s="33">
        <f>IF(C277&gt;0,C277*Calculator!$C$8/100/12,0)</f>
        <v/>
      </c>
      <c r="E277" s="32">
        <f>IF(C277&lt;=0,0,MIN(C277+D277,Calculator!$C$14))</f>
        <v/>
      </c>
      <c r="F277" s="34">
        <f>MAX(0,C277+D277-E277)</f>
        <v/>
      </c>
      <c r="G277" s="32">
        <f>J276</f>
        <v/>
      </c>
      <c r="H277" s="33">
        <f>IF(G277&gt;0,G277*Calculator!$C$8/100/12,0)</f>
        <v/>
      </c>
      <c r="I277" s="32">
        <f>IF(G277&lt;=0,0,MIN(G277+H277,Calculator!$C$15))</f>
        <v/>
      </c>
      <c r="J277" s="34">
        <f>MAX(0,G277+H277-I277)</f>
        <v/>
      </c>
    </row>
    <row r="278">
      <c r="A278" s="25" t="n">
        <v>271</v>
      </c>
      <c r="B278" s="26">
        <f>EDATE(Calculator!$C$12,270)</f>
        <v/>
      </c>
      <c r="C278" s="27">
        <f>F277</f>
        <v/>
      </c>
      <c r="D278" s="28">
        <f>IF(C278&gt;0,C278*Calculator!$C$8/100/12,0)</f>
        <v/>
      </c>
      <c r="E278" s="27">
        <f>IF(C278&lt;=0,0,MIN(C278+D278,Calculator!$C$14))</f>
        <v/>
      </c>
      <c r="F278" s="29">
        <f>MAX(0,C278+D278-E278)</f>
        <v/>
      </c>
      <c r="G278" s="27">
        <f>J277</f>
        <v/>
      </c>
      <c r="H278" s="28">
        <f>IF(G278&gt;0,G278*Calculator!$C$8/100/12,0)</f>
        <v/>
      </c>
      <c r="I278" s="27">
        <f>IF(G278&lt;=0,0,MIN(G278+H278,Calculator!$C$15))</f>
        <v/>
      </c>
      <c r="J278" s="29">
        <f>MAX(0,G278+H278-I278)</f>
        <v/>
      </c>
    </row>
    <row r="279">
      <c r="A279" s="30" t="n">
        <v>272</v>
      </c>
      <c r="B279" s="31">
        <f>EDATE(Calculator!$C$12,271)</f>
        <v/>
      </c>
      <c r="C279" s="32">
        <f>F278</f>
        <v/>
      </c>
      <c r="D279" s="33">
        <f>IF(C279&gt;0,C279*Calculator!$C$8/100/12,0)</f>
        <v/>
      </c>
      <c r="E279" s="32">
        <f>IF(C279&lt;=0,0,MIN(C279+D279,Calculator!$C$14))</f>
        <v/>
      </c>
      <c r="F279" s="34">
        <f>MAX(0,C279+D279-E279)</f>
        <v/>
      </c>
      <c r="G279" s="32">
        <f>J278</f>
        <v/>
      </c>
      <c r="H279" s="33">
        <f>IF(G279&gt;0,G279*Calculator!$C$8/100/12,0)</f>
        <v/>
      </c>
      <c r="I279" s="32">
        <f>IF(G279&lt;=0,0,MIN(G279+H279,Calculator!$C$15))</f>
        <v/>
      </c>
      <c r="J279" s="34">
        <f>MAX(0,G279+H279-I279)</f>
        <v/>
      </c>
    </row>
    <row r="280">
      <c r="A280" s="25" t="n">
        <v>273</v>
      </c>
      <c r="B280" s="26">
        <f>EDATE(Calculator!$C$12,272)</f>
        <v/>
      </c>
      <c r="C280" s="27">
        <f>F279</f>
        <v/>
      </c>
      <c r="D280" s="28">
        <f>IF(C280&gt;0,C280*Calculator!$C$8/100/12,0)</f>
        <v/>
      </c>
      <c r="E280" s="27">
        <f>IF(C280&lt;=0,0,MIN(C280+D280,Calculator!$C$14))</f>
        <v/>
      </c>
      <c r="F280" s="29">
        <f>MAX(0,C280+D280-E280)</f>
        <v/>
      </c>
      <c r="G280" s="27">
        <f>J279</f>
        <v/>
      </c>
      <c r="H280" s="28">
        <f>IF(G280&gt;0,G280*Calculator!$C$8/100/12,0)</f>
        <v/>
      </c>
      <c r="I280" s="27">
        <f>IF(G280&lt;=0,0,MIN(G280+H280,Calculator!$C$15))</f>
        <v/>
      </c>
      <c r="J280" s="29">
        <f>MAX(0,G280+H280-I280)</f>
        <v/>
      </c>
    </row>
    <row r="281">
      <c r="A281" s="30" t="n">
        <v>274</v>
      </c>
      <c r="B281" s="31">
        <f>EDATE(Calculator!$C$12,273)</f>
        <v/>
      </c>
      <c r="C281" s="32">
        <f>F280</f>
        <v/>
      </c>
      <c r="D281" s="33">
        <f>IF(C281&gt;0,C281*Calculator!$C$8/100/12,0)</f>
        <v/>
      </c>
      <c r="E281" s="32">
        <f>IF(C281&lt;=0,0,MIN(C281+D281,Calculator!$C$14))</f>
        <v/>
      </c>
      <c r="F281" s="34">
        <f>MAX(0,C281+D281-E281)</f>
        <v/>
      </c>
      <c r="G281" s="32">
        <f>J280</f>
        <v/>
      </c>
      <c r="H281" s="33">
        <f>IF(G281&gt;0,G281*Calculator!$C$8/100/12,0)</f>
        <v/>
      </c>
      <c r="I281" s="32">
        <f>IF(G281&lt;=0,0,MIN(G281+H281,Calculator!$C$15))</f>
        <v/>
      </c>
      <c r="J281" s="34">
        <f>MAX(0,G281+H281-I281)</f>
        <v/>
      </c>
    </row>
    <row r="282">
      <c r="A282" s="25" t="n">
        <v>275</v>
      </c>
      <c r="B282" s="26">
        <f>EDATE(Calculator!$C$12,274)</f>
        <v/>
      </c>
      <c r="C282" s="27">
        <f>F281</f>
        <v/>
      </c>
      <c r="D282" s="28">
        <f>IF(C282&gt;0,C282*Calculator!$C$8/100/12,0)</f>
        <v/>
      </c>
      <c r="E282" s="27">
        <f>IF(C282&lt;=0,0,MIN(C282+D282,Calculator!$C$14))</f>
        <v/>
      </c>
      <c r="F282" s="29">
        <f>MAX(0,C282+D282-E282)</f>
        <v/>
      </c>
      <c r="G282" s="27">
        <f>J281</f>
        <v/>
      </c>
      <c r="H282" s="28">
        <f>IF(G282&gt;0,G282*Calculator!$C$8/100/12,0)</f>
        <v/>
      </c>
      <c r="I282" s="27">
        <f>IF(G282&lt;=0,0,MIN(G282+H282,Calculator!$C$15))</f>
        <v/>
      </c>
      <c r="J282" s="29">
        <f>MAX(0,G282+H282-I282)</f>
        <v/>
      </c>
    </row>
    <row r="283">
      <c r="A283" s="30" t="n">
        <v>276</v>
      </c>
      <c r="B283" s="31">
        <f>EDATE(Calculator!$C$12,275)</f>
        <v/>
      </c>
      <c r="C283" s="32">
        <f>F282</f>
        <v/>
      </c>
      <c r="D283" s="33">
        <f>IF(C283&gt;0,C283*Calculator!$C$8/100/12,0)</f>
        <v/>
      </c>
      <c r="E283" s="32">
        <f>IF(C283&lt;=0,0,MIN(C283+D283,Calculator!$C$14))</f>
        <v/>
      </c>
      <c r="F283" s="34">
        <f>MAX(0,C283+D283-E283)</f>
        <v/>
      </c>
      <c r="G283" s="32">
        <f>J282</f>
        <v/>
      </c>
      <c r="H283" s="33">
        <f>IF(G283&gt;0,G283*Calculator!$C$8/100/12,0)</f>
        <v/>
      </c>
      <c r="I283" s="32">
        <f>IF(G283&lt;=0,0,MIN(G283+H283,Calculator!$C$15))</f>
        <v/>
      </c>
      <c r="J283" s="34">
        <f>MAX(0,G283+H283-I283)</f>
        <v/>
      </c>
    </row>
    <row r="284">
      <c r="A284" s="25" t="n">
        <v>277</v>
      </c>
      <c r="B284" s="26">
        <f>EDATE(Calculator!$C$12,276)</f>
        <v/>
      </c>
      <c r="C284" s="27">
        <f>F283</f>
        <v/>
      </c>
      <c r="D284" s="28">
        <f>IF(C284&gt;0,C284*Calculator!$C$8/100/12,0)</f>
        <v/>
      </c>
      <c r="E284" s="27">
        <f>IF(C284&lt;=0,0,MIN(C284+D284,Calculator!$C$14))</f>
        <v/>
      </c>
      <c r="F284" s="29">
        <f>MAX(0,C284+D284-E284)</f>
        <v/>
      </c>
      <c r="G284" s="27">
        <f>J283</f>
        <v/>
      </c>
      <c r="H284" s="28">
        <f>IF(G284&gt;0,G284*Calculator!$C$8/100/12,0)</f>
        <v/>
      </c>
      <c r="I284" s="27">
        <f>IF(G284&lt;=0,0,MIN(G284+H284,Calculator!$C$15))</f>
        <v/>
      </c>
      <c r="J284" s="29">
        <f>MAX(0,G284+H284-I284)</f>
        <v/>
      </c>
    </row>
    <row r="285">
      <c r="A285" s="30" t="n">
        <v>278</v>
      </c>
      <c r="B285" s="31">
        <f>EDATE(Calculator!$C$12,277)</f>
        <v/>
      </c>
      <c r="C285" s="32">
        <f>F284</f>
        <v/>
      </c>
      <c r="D285" s="33">
        <f>IF(C285&gt;0,C285*Calculator!$C$8/100/12,0)</f>
        <v/>
      </c>
      <c r="E285" s="32">
        <f>IF(C285&lt;=0,0,MIN(C285+D285,Calculator!$C$14))</f>
        <v/>
      </c>
      <c r="F285" s="34">
        <f>MAX(0,C285+D285-E285)</f>
        <v/>
      </c>
      <c r="G285" s="32">
        <f>J284</f>
        <v/>
      </c>
      <c r="H285" s="33">
        <f>IF(G285&gt;0,G285*Calculator!$C$8/100/12,0)</f>
        <v/>
      </c>
      <c r="I285" s="32">
        <f>IF(G285&lt;=0,0,MIN(G285+H285,Calculator!$C$15))</f>
        <v/>
      </c>
      <c r="J285" s="34">
        <f>MAX(0,G285+H285-I285)</f>
        <v/>
      </c>
    </row>
    <row r="286">
      <c r="A286" s="25" t="n">
        <v>279</v>
      </c>
      <c r="B286" s="26">
        <f>EDATE(Calculator!$C$12,278)</f>
        <v/>
      </c>
      <c r="C286" s="27">
        <f>F285</f>
        <v/>
      </c>
      <c r="D286" s="28">
        <f>IF(C286&gt;0,C286*Calculator!$C$8/100/12,0)</f>
        <v/>
      </c>
      <c r="E286" s="27">
        <f>IF(C286&lt;=0,0,MIN(C286+D286,Calculator!$C$14))</f>
        <v/>
      </c>
      <c r="F286" s="29">
        <f>MAX(0,C286+D286-E286)</f>
        <v/>
      </c>
      <c r="G286" s="27">
        <f>J285</f>
        <v/>
      </c>
      <c r="H286" s="28">
        <f>IF(G286&gt;0,G286*Calculator!$C$8/100/12,0)</f>
        <v/>
      </c>
      <c r="I286" s="27">
        <f>IF(G286&lt;=0,0,MIN(G286+H286,Calculator!$C$15))</f>
        <v/>
      </c>
      <c r="J286" s="29">
        <f>MAX(0,G286+H286-I286)</f>
        <v/>
      </c>
    </row>
    <row r="287">
      <c r="A287" s="30" t="n">
        <v>280</v>
      </c>
      <c r="B287" s="31">
        <f>EDATE(Calculator!$C$12,279)</f>
        <v/>
      </c>
      <c r="C287" s="32">
        <f>F286</f>
        <v/>
      </c>
      <c r="D287" s="33">
        <f>IF(C287&gt;0,C287*Calculator!$C$8/100/12,0)</f>
        <v/>
      </c>
      <c r="E287" s="32">
        <f>IF(C287&lt;=0,0,MIN(C287+D287,Calculator!$C$14))</f>
        <v/>
      </c>
      <c r="F287" s="34">
        <f>MAX(0,C287+D287-E287)</f>
        <v/>
      </c>
      <c r="G287" s="32">
        <f>J286</f>
        <v/>
      </c>
      <c r="H287" s="33">
        <f>IF(G287&gt;0,G287*Calculator!$C$8/100/12,0)</f>
        <v/>
      </c>
      <c r="I287" s="32">
        <f>IF(G287&lt;=0,0,MIN(G287+H287,Calculator!$C$15))</f>
        <v/>
      </c>
      <c r="J287" s="34">
        <f>MAX(0,G287+H287-I287)</f>
        <v/>
      </c>
    </row>
    <row r="288">
      <c r="A288" s="25" t="n">
        <v>281</v>
      </c>
      <c r="B288" s="26">
        <f>EDATE(Calculator!$C$12,280)</f>
        <v/>
      </c>
      <c r="C288" s="27">
        <f>F287</f>
        <v/>
      </c>
      <c r="D288" s="28">
        <f>IF(C288&gt;0,C288*Calculator!$C$8/100/12,0)</f>
        <v/>
      </c>
      <c r="E288" s="27">
        <f>IF(C288&lt;=0,0,MIN(C288+D288,Calculator!$C$14))</f>
        <v/>
      </c>
      <c r="F288" s="29">
        <f>MAX(0,C288+D288-E288)</f>
        <v/>
      </c>
      <c r="G288" s="27">
        <f>J287</f>
        <v/>
      </c>
      <c r="H288" s="28">
        <f>IF(G288&gt;0,G288*Calculator!$C$8/100/12,0)</f>
        <v/>
      </c>
      <c r="I288" s="27">
        <f>IF(G288&lt;=0,0,MIN(G288+H288,Calculator!$C$15))</f>
        <v/>
      </c>
      <c r="J288" s="29">
        <f>MAX(0,G288+H288-I288)</f>
        <v/>
      </c>
    </row>
    <row r="289">
      <c r="A289" s="30" t="n">
        <v>282</v>
      </c>
      <c r="B289" s="31">
        <f>EDATE(Calculator!$C$12,281)</f>
        <v/>
      </c>
      <c r="C289" s="32">
        <f>F288</f>
        <v/>
      </c>
      <c r="D289" s="33">
        <f>IF(C289&gt;0,C289*Calculator!$C$8/100/12,0)</f>
        <v/>
      </c>
      <c r="E289" s="32">
        <f>IF(C289&lt;=0,0,MIN(C289+D289,Calculator!$C$14))</f>
        <v/>
      </c>
      <c r="F289" s="34">
        <f>MAX(0,C289+D289-E289)</f>
        <v/>
      </c>
      <c r="G289" s="32">
        <f>J288</f>
        <v/>
      </c>
      <c r="H289" s="33">
        <f>IF(G289&gt;0,G289*Calculator!$C$8/100/12,0)</f>
        <v/>
      </c>
      <c r="I289" s="32">
        <f>IF(G289&lt;=0,0,MIN(G289+H289,Calculator!$C$15))</f>
        <v/>
      </c>
      <c r="J289" s="34">
        <f>MAX(0,G289+H289-I289)</f>
        <v/>
      </c>
    </row>
    <row r="290">
      <c r="A290" s="25" t="n">
        <v>283</v>
      </c>
      <c r="B290" s="26">
        <f>EDATE(Calculator!$C$12,282)</f>
        <v/>
      </c>
      <c r="C290" s="27">
        <f>F289</f>
        <v/>
      </c>
      <c r="D290" s="28">
        <f>IF(C290&gt;0,C290*Calculator!$C$8/100/12,0)</f>
        <v/>
      </c>
      <c r="E290" s="27">
        <f>IF(C290&lt;=0,0,MIN(C290+D290,Calculator!$C$14))</f>
        <v/>
      </c>
      <c r="F290" s="29">
        <f>MAX(0,C290+D290-E290)</f>
        <v/>
      </c>
      <c r="G290" s="27">
        <f>J289</f>
        <v/>
      </c>
      <c r="H290" s="28">
        <f>IF(G290&gt;0,G290*Calculator!$C$8/100/12,0)</f>
        <v/>
      </c>
      <c r="I290" s="27">
        <f>IF(G290&lt;=0,0,MIN(G290+H290,Calculator!$C$15))</f>
        <v/>
      </c>
      <c r="J290" s="29">
        <f>MAX(0,G290+H290-I290)</f>
        <v/>
      </c>
    </row>
    <row r="291">
      <c r="A291" s="30" t="n">
        <v>284</v>
      </c>
      <c r="B291" s="31">
        <f>EDATE(Calculator!$C$12,283)</f>
        <v/>
      </c>
      <c r="C291" s="32">
        <f>F290</f>
        <v/>
      </c>
      <c r="D291" s="33">
        <f>IF(C291&gt;0,C291*Calculator!$C$8/100/12,0)</f>
        <v/>
      </c>
      <c r="E291" s="32">
        <f>IF(C291&lt;=0,0,MIN(C291+D291,Calculator!$C$14))</f>
        <v/>
      </c>
      <c r="F291" s="34">
        <f>MAX(0,C291+D291-E291)</f>
        <v/>
      </c>
      <c r="G291" s="32">
        <f>J290</f>
        <v/>
      </c>
      <c r="H291" s="33">
        <f>IF(G291&gt;0,G291*Calculator!$C$8/100/12,0)</f>
        <v/>
      </c>
      <c r="I291" s="32">
        <f>IF(G291&lt;=0,0,MIN(G291+H291,Calculator!$C$15))</f>
        <v/>
      </c>
      <c r="J291" s="34">
        <f>MAX(0,G291+H291-I291)</f>
        <v/>
      </c>
    </row>
    <row r="292">
      <c r="A292" s="25" t="n">
        <v>285</v>
      </c>
      <c r="B292" s="26">
        <f>EDATE(Calculator!$C$12,284)</f>
        <v/>
      </c>
      <c r="C292" s="27">
        <f>F291</f>
        <v/>
      </c>
      <c r="D292" s="28">
        <f>IF(C292&gt;0,C292*Calculator!$C$8/100/12,0)</f>
        <v/>
      </c>
      <c r="E292" s="27">
        <f>IF(C292&lt;=0,0,MIN(C292+D292,Calculator!$C$14))</f>
        <v/>
      </c>
      <c r="F292" s="29">
        <f>MAX(0,C292+D292-E292)</f>
        <v/>
      </c>
      <c r="G292" s="27">
        <f>J291</f>
        <v/>
      </c>
      <c r="H292" s="28">
        <f>IF(G292&gt;0,G292*Calculator!$C$8/100/12,0)</f>
        <v/>
      </c>
      <c r="I292" s="27">
        <f>IF(G292&lt;=0,0,MIN(G292+H292,Calculator!$C$15))</f>
        <v/>
      </c>
      <c r="J292" s="29">
        <f>MAX(0,G292+H292-I292)</f>
        <v/>
      </c>
    </row>
    <row r="293">
      <c r="A293" s="30" t="n">
        <v>286</v>
      </c>
      <c r="B293" s="31">
        <f>EDATE(Calculator!$C$12,285)</f>
        <v/>
      </c>
      <c r="C293" s="32">
        <f>F292</f>
        <v/>
      </c>
      <c r="D293" s="33">
        <f>IF(C293&gt;0,C293*Calculator!$C$8/100/12,0)</f>
        <v/>
      </c>
      <c r="E293" s="32">
        <f>IF(C293&lt;=0,0,MIN(C293+D293,Calculator!$C$14))</f>
        <v/>
      </c>
      <c r="F293" s="34">
        <f>MAX(0,C293+D293-E293)</f>
        <v/>
      </c>
      <c r="G293" s="32">
        <f>J292</f>
        <v/>
      </c>
      <c r="H293" s="33">
        <f>IF(G293&gt;0,G293*Calculator!$C$8/100/12,0)</f>
        <v/>
      </c>
      <c r="I293" s="32">
        <f>IF(G293&lt;=0,0,MIN(G293+H293,Calculator!$C$15))</f>
        <v/>
      </c>
      <c r="J293" s="34">
        <f>MAX(0,G293+H293-I293)</f>
        <v/>
      </c>
    </row>
    <row r="294">
      <c r="A294" s="25" t="n">
        <v>287</v>
      </c>
      <c r="B294" s="26">
        <f>EDATE(Calculator!$C$12,286)</f>
        <v/>
      </c>
      <c r="C294" s="27">
        <f>F293</f>
        <v/>
      </c>
      <c r="D294" s="28">
        <f>IF(C294&gt;0,C294*Calculator!$C$8/100/12,0)</f>
        <v/>
      </c>
      <c r="E294" s="27">
        <f>IF(C294&lt;=0,0,MIN(C294+D294,Calculator!$C$14))</f>
        <v/>
      </c>
      <c r="F294" s="29">
        <f>MAX(0,C294+D294-E294)</f>
        <v/>
      </c>
      <c r="G294" s="27">
        <f>J293</f>
        <v/>
      </c>
      <c r="H294" s="28">
        <f>IF(G294&gt;0,G294*Calculator!$C$8/100/12,0)</f>
        <v/>
      </c>
      <c r="I294" s="27">
        <f>IF(G294&lt;=0,0,MIN(G294+H294,Calculator!$C$15))</f>
        <v/>
      </c>
      <c r="J294" s="29">
        <f>MAX(0,G294+H294-I294)</f>
        <v/>
      </c>
    </row>
    <row r="295">
      <c r="A295" s="30" t="n">
        <v>288</v>
      </c>
      <c r="B295" s="31">
        <f>EDATE(Calculator!$C$12,287)</f>
        <v/>
      </c>
      <c r="C295" s="32">
        <f>F294</f>
        <v/>
      </c>
      <c r="D295" s="33">
        <f>IF(C295&gt;0,C295*Calculator!$C$8/100/12,0)</f>
        <v/>
      </c>
      <c r="E295" s="32">
        <f>IF(C295&lt;=0,0,MIN(C295+D295,Calculator!$C$14))</f>
        <v/>
      </c>
      <c r="F295" s="34">
        <f>MAX(0,C295+D295-E295)</f>
        <v/>
      </c>
      <c r="G295" s="32">
        <f>J294</f>
        <v/>
      </c>
      <c r="H295" s="33">
        <f>IF(G295&gt;0,G295*Calculator!$C$8/100/12,0)</f>
        <v/>
      </c>
      <c r="I295" s="32">
        <f>IF(G295&lt;=0,0,MIN(G295+H295,Calculator!$C$15))</f>
        <v/>
      </c>
      <c r="J295" s="34">
        <f>MAX(0,G295+H295-I295)</f>
        <v/>
      </c>
    </row>
    <row r="296">
      <c r="A296" s="25" t="n">
        <v>289</v>
      </c>
      <c r="B296" s="26">
        <f>EDATE(Calculator!$C$12,288)</f>
        <v/>
      </c>
      <c r="C296" s="27">
        <f>F295</f>
        <v/>
      </c>
      <c r="D296" s="28">
        <f>IF(C296&gt;0,C296*Calculator!$C$8/100/12,0)</f>
        <v/>
      </c>
      <c r="E296" s="27">
        <f>IF(C296&lt;=0,0,MIN(C296+D296,Calculator!$C$14))</f>
        <v/>
      </c>
      <c r="F296" s="29">
        <f>MAX(0,C296+D296-E296)</f>
        <v/>
      </c>
      <c r="G296" s="27">
        <f>J295</f>
        <v/>
      </c>
      <c r="H296" s="28">
        <f>IF(G296&gt;0,G296*Calculator!$C$8/100/12,0)</f>
        <v/>
      </c>
      <c r="I296" s="27">
        <f>IF(G296&lt;=0,0,MIN(G296+H296,Calculator!$C$15))</f>
        <v/>
      </c>
      <c r="J296" s="29">
        <f>MAX(0,G296+H296-I296)</f>
        <v/>
      </c>
    </row>
    <row r="297">
      <c r="A297" s="30" t="n">
        <v>290</v>
      </c>
      <c r="B297" s="31">
        <f>EDATE(Calculator!$C$12,289)</f>
        <v/>
      </c>
      <c r="C297" s="32">
        <f>F296</f>
        <v/>
      </c>
      <c r="D297" s="33">
        <f>IF(C297&gt;0,C297*Calculator!$C$8/100/12,0)</f>
        <v/>
      </c>
      <c r="E297" s="32">
        <f>IF(C297&lt;=0,0,MIN(C297+D297,Calculator!$C$14))</f>
        <v/>
      </c>
      <c r="F297" s="34">
        <f>MAX(0,C297+D297-E297)</f>
        <v/>
      </c>
      <c r="G297" s="32">
        <f>J296</f>
        <v/>
      </c>
      <c r="H297" s="33">
        <f>IF(G297&gt;0,G297*Calculator!$C$8/100/12,0)</f>
        <v/>
      </c>
      <c r="I297" s="32">
        <f>IF(G297&lt;=0,0,MIN(G297+H297,Calculator!$C$15))</f>
        <v/>
      </c>
      <c r="J297" s="34">
        <f>MAX(0,G297+H297-I297)</f>
        <v/>
      </c>
    </row>
    <row r="298">
      <c r="A298" s="25" t="n">
        <v>291</v>
      </c>
      <c r="B298" s="26">
        <f>EDATE(Calculator!$C$12,290)</f>
        <v/>
      </c>
      <c r="C298" s="27">
        <f>F297</f>
        <v/>
      </c>
      <c r="D298" s="28">
        <f>IF(C298&gt;0,C298*Calculator!$C$8/100/12,0)</f>
        <v/>
      </c>
      <c r="E298" s="27">
        <f>IF(C298&lt;=0,0,MIN(C298+D298,Calculator!$C$14))</f>
        <v/>
      </c>
      <c r="F298" s="29">
        <f>MAX(0,C298+D298-E298)</f>
        <v/>
      </c>
      <c r="G298" s="27">
        <f>J297</f>
        <v/>
      </c>
      <c r="H298" s="28">
        <f>IF(G298&gt;0,G298*Calculator!$C$8/100/12,0)</f>
        <v/>
      </c>
      <c r="I298" s="27">
        <f>IF(G298&lt;=0,0,MIN(G298+H298,Calculator!$C$15))</f>
        <v/>
      </c>
      <c r="J298" s="29">
        <f>MAX(0,G298+H298-I298)</f>
        <v/>
      </c>
    </row>
    <row r="299">
      <c r="A299" s="30" t="n">
        <v>292</v>
      </c>
      <c r="B299" s="31">
        <f>EDATE(Calculator!$C$12,291)</f>
        <v/>
      </c>
      <c r="C299" s="32">
        <f>F298</f>
        <v/>
      </c>
      <c r="D299" s="33">
        <f>IF(C299&gt;0,C299*Calculator!$C$8/100/12,0)</f>
        <v/>
      </c>
      <c r="E299" s="32">
        <f>IF(C299&lt;=0,0,MIN(C299+D299,Calculator!$C$14))</f>
        <v/>
      </c>
      <c r="F299" s="34">
        <f>MAX(0,C299+D299-E299)</f>
        <v/>
      </c>
      <c r="G299" s="32">
        <f>J298</f>
        <v/>
      </c>
      <c r="H299" s="33">
        <f>IF(G299&gt;0,G299*Calculator!$C$8/100/12,0)</f>
        <v/>
      </c>
      <c r="I299" s="32">
        <f>IF(G299&lt;=0,0,MIN(G299+H299,Calculator!$C$15))</f>
        <v/>
      </c>
      <c r="J299" s="34">
        <f>MAX(0,G299+H299-I299)</f>
        <v/>
      </c>
    </row>
    <row r="300">
      <c r="A300" s="25" t="n">
        <v>293</v>
      </c>
      <c r="B300" s="26">
        <f>EDATE(Calculator!$C$12,292)</f>
        <v/>
      </c>
      <c r="C300" s="27">
        <f>F299</f>
        <v/>
      </c>
      <c r="D300" s="28">
        <f>IF(C300&gt;0,C300*Calculator!$C$8/100/12,0)</f>
        <v/>
      </c>
      <c r="E300" s="27">
        <f>IF(C300&lt;=0,0,MIN(C300+D300,Calculator!$C$14))</f>
        <v/>
      </c>
      <c r="F300" s="29">
        <f>MAX(0,C300+D300-E300)</f>
        <v/>
      </c>
      <c r="G300" s="27">
        <f>J299</f>
        <v/>
      </c>
      <c r="H300" s="28">
        <f>IF(G300&gt;0,G300*Calculator!$C$8/100/12,0)</f>
        <v/>
      </c>
      <c r="I300" s="27">
        <f>IF(G300&lt;=0,0,MIN(G300+H300,Calculator!$C$15))</f>
        <v/>
      </c>
      <c r="J300" s="29">
        <f>MAX(0,G300+H300-I300)</f>
        <v/>
      </c>
    </row>
    <row r="301">
      <c r="A301" s="30" t="n">
        <v>294</v>
      </c>
      <c r="B301" s="31">
        <f>EDATE(Calculator!$C$12,293)</f>
        <v/>
      </c>
      <c r="C301" s="32">
        <f>F300</f>
        <v/>
      </c>
      <c r="D301" s="33">
        <f>IF(C301&gt;0,C301*Calculator!$C$8/100/12,0)</f>
        <v/>
      </c>
      <c r="E301" s="32">
        <f>IF(C301&lt;=0,0,MIN(C301+D301,Calculator!$C$14))</f>
        <v/>
      </c>
      <c r="F301" s="34">
        <f>MAX(0,C301+D301-E301)</f>
        <v/>
      </c>
      <c r="G301" s="32">
        <f>J300</f>
        <v/>
      </c>
      <c r="H301" s="33">
        <f>IF(G301&gt;0,G301*Calculator!$C$8/100/12,0)</f>
        <v/>
      </c>
      <c r="I301" s="32">
        <f>IF(G301&lt;=0,0,MIN(G301+H301,Calculator!$C$15))</f>
        <v/>
      </c>
      <c r="J301" s="34">
        <f>MAX(0,G301+H301-I301)</f>
        <v/>
      </c>
    </row>
    <row r="302">
      <c r="A302" s="25" t="n">
        <v>295</v>
      </c>
      <c r="B302" s="26">
        <f>EDATE(Calculator!$C$12,294)</f>
        <v/>
      </c>
      <c r="C302" s="27">
        <f>F301</f>
        <v/>
      </c>
      <c r="D302" s="28">
        <f>IF(C302&gt;0,C302*Calculator!$C$8/100/12,0)</f>
        <v/>
      </c>
      <c r="E302" s="27">
        <f>IF(C302&lt;=0,0,MIN(C302+D302,Calculator!$C$14))</f>
        <v/>
      </c>
      <c r="F302" s="29">
        <f>MAX(0,C302+D302-E302)</f>
        <v/>
      </c>
      <c r="G302" s="27">
        <f>J301</f>
        <v/>
      </c>
      <c r="H302" s="28">
        <f>IF(G302&gt;0,G302*Calculator!$C$8/100/12,0)</f>
        <v/>
      </c>
      <c r="I302" s="27">
        <f>IF(G302&lt;=0,0,MIN(G302+H302,Calculator!$C$15))</f>
        <v/>
      </c>
      <c r="J302" s="29">
        <f>MAX(0,G302+H302-I302)</f>
        <v/>
      </c>
    </row>
    <row r="303">
      <c r="A303" s="30" t="n">
        <v>296</v>
      </c>
      <c r="B303" s="31">
        <f>EDATE(Calculator!$C$12,295)</f>
        <v/>
      </c>
      <c r="C303" s="32">
        <f>F302</f>
        <v/>
      </c>
      <c r="D303" s="33">
        <f>IF(C303&gt;0,C303*Calculator!$C$8/100/12,0)</f>
        <v/>
      </c>
      <c r="E303" s="32">
        <f>IF(C303&lt;=0,0,MIN(C303+D303,Calculator!$C$14))</f>
        <v/>
      </c>
      <c r="F303" s="34">
        <f>MAX(0,C303+D303-E303)</f>
        <v/>
      </c>
      <c r="G303" s="32">
        <f>J302</f>
        <v/>
      </c>
      <c r="H303" s="33">
        <f>IF(G303&gt;0,G303*Calculator!$C$8/100/12,0)</f>
        <v/>
      </c>
      <c r="I303" s="32">
        <f>IF(G303&lt;=0,0,MIN(G303+H303,Calculator!$C$15))</f>
        <v/>
      </c>
      <c r="J303" s="34">
        <f>MAX(0,G303+H303-I303)</f>
        <v/>
      </c>
    </row>
    <row r="304">
      <c r="A304" s="25" t="n">
        <v>297</v>
      </c>
      <c r="B304" s="26">
        <f>EDATE(Calculator!$C$12,296)</f>
        <v/>
      </c>
      <c r="C304" s="27">
        <f>F303</f>
        <v/>
      </c>
      <c r="D304" s="28">
        <f>IF(C304&gt;0,C304*Calculator!$C$8/100/12,0)</f>
        <v/>
      </c>
      <c r="E304" s="27">
        <f>IF(C304&lt;=0,0,MIN(C304+D304,Calculator!$C$14))</f>
        <v/>
      </c>
      <c r="F304" s="29">
        <f>MAX(0,C304+D304-E304)</f>
        <v/>
      </c>
      <c r="G304" s="27">
        <f>J303</f>
        <v/>
      </c>
      <c r="H304" s="28">
        <f>IF(G304&gt;0,G304*Calculator!$C$8/100/12,0)</f>
        <v/>
      </c>
      <c r="I304" s="27">
        <f>IF(G304&lt;=0,0,MIN(G304+H304,Calculator!$C$15))</f>
        <v/>
      </c>
      <c r="J304" s="29">
        <f>MAX(0,G304+H304-I304)</f>
        <v/>
      </c>
    </row>
    <row r="305">
      <c r="A305" s="30" t="n">
        <v>298</v>
      </c>
      <c r="B305" s="31">
        <f>EDATE(Calculator!$C$12,297)</f>
        <v/>
      </c>
      <c r="C305" s="32">
        <f>F304</f>
        <v/>
      </c>
      <c r="D305" s="33">
        <f>IF(C305&gt;0,C305*Calculator!$C$8/100/12,0)</f>
        <v/>
      </c>
      <c r="E305" s="32">
        <f>IF(C305&lt;=0,0,MIN(C305+D305,Calculator!$C$14))</f>
        <v/>
      </c>
      <c r="F305" s="34">
        <f>MAX(0,C305+D305-E305)</f>
        <v/>
      </c>
      <c r="G305" s="32">
        <f>J304</f>
        <v/>
      </c>
      <c r="H305" s="33">
        <f>IF(G305&gt;0,G305*Calculator!$C$8/100/12,0)</f>
        <v/>
      </c>
      <c r="I305" s="32">
        <f>IF(G305&lt;=0,0,MIN(G305+H305,Calculator!$C$15))</f>
        <v/>
      </c>
      <c r="J305" s="34">
        <f>MAX(0,G305+H305-I305)</f>
        <v/>
      </c>
    </row>
    <row r="306">
      <c r="A306" s="25" t="n">
        <v>299</v>
      </c>
      <c r="B306" s="26">
        <f>EDATE(Calculator!$C$12,298)</f>
        <v/>
      </c>
      <c r="C306" s="27">
        <f>F305</f>
        <v/>
      </c>
      <c r="D306" s="28">
        <f>IF(C306&gt;0,C306*Calculator!$C$8/100/12,0)</f>
        <v/>
      </c>
      <c r="E306" s="27">
        <f>IF(C306&lt;=0,0,MIN(C306+D306,Calculator!$C$14))</f>
        <v/>
      </c>
      <c r="F306" s="29">
        <f>MAX(0,C306+D306-E306)</f>
        <v/>
      </c>
      <c r="G306" s="27">
        <f>J305</f>
        <v/>
      </c>
      <c r="H306" s="28">
        <f>IF(G306&gt;0,G306*Calculator!$C$8/100/12,0)</f>
        <v/>
      </c>
      <c r="I306" s="27">
        <f>IF(G306&lt;=0,0,MIN(G306+H306,Calculator!$C$15))</f>
        <v/>
      </c>
      <c r="J306" s="29">
        <f>MAX(0,G306+H306-I306)</f>
        <v/>
      </c>
    </row>
    <row r="307">
      <c r="A307" s="30" t="n">
        <v>300</v>
      </c>
      <c r="B307" s="31">
        <f>EDATE(Calculator!$C$12,299)</f>
        <v/>
      </c>
      <c r="C307" s="32">
        <f>F306</f>
        <v/>
      </c>
      <c r="D307" s="33">
        <f>IF(C307&gt;0,C307*Calculator!$C$8/100/12,0)</f>
        <v/>
      </c>
      <c r="E307" s="32">
        <f>IF(C307&lt;=0,0,MIN(C307+D307,Calculator!$C$14))</f>
        <v/>
      </c>
      <c r="F307" s="34">
        <f>MAX(0,C307+D307-E307)</f>
        <v/>
      </c>
      <c r="G307" s="32">
        <f>J306</f>
        <v/>
      </c>
      <c r="H307" s="33">
        <f>IF(G307&gt;0,G307*Calculator!$C$8/100/12,0)</f>
        <v/>
      </c>
      <c r="I307" s="32">
        <f>IF(G307&lt;=0,0,MIN(G307+H307,Calculator!$C$15))</f>
        <v/>
      </c>
      <c r="J307" s="34">
        <f>MAX(0,G307+H307-I307)</f>
        <v/>
      </c>
    </row>
    <row r="308">
      <c r="A308" s="25" t="n">
        <v>301</v>
      </c>
      <c r="B308" s="26">
        <f>EDATE(Calculator!$C$12,300)</f>
        <v/>
      </c>
      <c r="C308" s="27">
        <f>F307</f>
        <v/>
      </c>
      <c r="D308" s="28">
        <f>IF(C308&gt;0,C308*Calculator!$C$8/100/12,0)</f>
        <v/>
      </c>
      <c r="E308" s="27">
        <f>IF(C308&lt;=0,0,MIN(C308+D308,Calculator!$C$14))</f>
        <v/>
      </c>
      <c r="F308" s="29">
        <f>MAX(0,C308+D308-E308)</f>
        <v/>
      </c>
      <c r="G308" s="27">
        <f>J307</f>
        <v/>
      </c>
      <c r="H308" s="28">
        <f>IF(G308&gt;0,G308*Calculator!$C$8/100/12,0)</f>
        <v/>
      </c>
      <c r="I308" s="27">
        <f>IF(G308&lt;=0,0,MIN(G308+H308,Calculator!$C$15))</f>
        <v/>
      </c>
      <c r="J308" s="29">
        <f>MAX(0,G308+H308-I308)</f>
        <v/>
      </c>
    </row>
    <row r="309">
      <c r="A309" s="30" t="n">
        <v>302</v>
      </c>
      <c r="B309" s="31">
        <f>EDATE(Calculator!$C$12,301)</f>
        <v/>
      </c>
      <c r="C309" s="32">
        <f>F308</f>
        <v/>
      </c>
      <c r="D309" s="33">
        <f>IF(C309&gt;0,C309*Calculator!$C$8/100/12,0)</f>
        <v/>
      </c>
      <c r="E309" s="32">
        <f>IF(C309&lt;=0,0,MIN(C309+D309,Calculator!$C$14))</f>
        <v/>
      </c>
      <c r="F309" s="34">
        <f>MAX(0,C309+D309-E309)</f>
        <v/>
      </c>
      <c r="G309" s="32">
        <f>J308</f>
        <v/>
      </c>
      <c r="H309" s="33">
        <f>IF(G309&gt;0,G309*Calculator!$C$8/100/12,0)</f>
        <v/>
      </c>
      <c r="I309" s="32">
        <f>IF(G309&lt;=0,0,MIN(G309+H309,Calculator!$C$15))</f>
        <v/>
      </c>
      <c r="J309" s="34">
        <f>MAX(0,G309+H309-I309)</f>
        <v/>
      </c>
    </row>
    <row r="310">
      <c r="A310" s="25" t="n">
        <v>303</v>
      </c>
      <c r="B310" s="26">
        <f>EDATE(Calculator!$C$12,302)</f>
        <v/>
      </c>
      <c r="C310" s="27">
        <f>F309</f>
        <v/>
      </c>
      <c r="D310" s="28">
        <f>IF(C310&gt;0,C310*Calculator!$C$8/100/12,0)</f>
        <v/>
      </c>
      <c r="E310" s="27">
        <f>IF(C310&lt;=0,0,MIN(C310+D310,Calculator!$C$14))</f>
        <v/>
      </c>
      <c r="F310" s="29">
        <f>MAX(0,C310+D310-E310)</f>
        <v/>
      </c>
      <c r="G310" s="27">
        <f>J309</f>
        <v/>
      </c>
      <c r="H310" s="28">
        <f>IF(G310&gt;0,G310*Calculator!$C$8/100/12,0)</f>
        <v/>
      </c>
      <c r="I310" s="27">
        <f>IF(G310&lt;=0,0,MIN(G310+H310,Calculator!$C$15))</f>
        <v/>
      </c>
      <c r="J310" s="29">
        <f>MAX(0,G310+H310-I310)</f>
        <v/>
      </c>
    </row>
    <row r="311">
      <c r="A311" s="30" t="n">
        <v>304</v>
      </c>
      <c r="B311" s="31">
        <f>EDATE(Calculator!$C$12,303)</f>
        <v/>
      </c>
      <c r="C311" s="32">
        <f>F310</f>
        <v/>
      </c>
      <c r="D311" s="33">
        <f>IF(C311&gt;0,C311*Calculator!$C$8/100/12,0)</f>
        <v/>
      </c>
      <c r="E311" s="32">
        <f>IF(C311&lt;=0,0,MIN(C311+D311,Calculator!$C$14))</f>
        <v/>
      </c>
      <c r="F311" s="34">
        <f>MAX(0,C311+D311-E311)</f>
        <v/>
      </c>
      <c r="G311" s="32">
        <f>J310</f>
        <v/>
      </c>
      <c r="H311" s="33">
        <f>IF(G311&gt;0,G311*Calculator!$C$8/100/12,0)</f>
        <v/>
      </c>
      <c r="I311" s="32">
        <f>IF(G311&lt;=0,0,MIN(G311+H311,Calculator!$C$15))</f>
        <v/>
      </c>
      <c r="J311" s="34">
        <f>MAX(0,G311+H311-I311)</f>
        <v/>
      </c>
    </row>
    <row r="312">
      <c r="A312" s="25" t="n">
        <v>305</v>
      </c>
      <c r="B312" s="26">
        <f>EDATE(Calculator!$C$12,304)</f>
        <v/>
      </c>
      <c r="C312" s="27">
        <f>F311</f>
        <v/>
      </c>
      <c r="D312" s="28">
        <f>IF(C312&gt;0,C312*Calculator!$C$8/100/12,0)</f>
        <v/>
      </c>
      <c r="E312" s="27">
        <f>IF(C312&lt;=0,0,MIN(C312+D312,Calculator!$C$14))</f>
        <v/>
      </c>
      <c r="F312" s="29">
        <f>MAX(0,C312+D312-E312)</f>
        <v/>
      </c>
      <c r="G312" s="27">
        <f>J311</f>
        <v/>
      </c>
      <c r="H312" s="28">
        <f>IF(G312&gt;0,G312*Calculator!$C$8/100/12,0)</f>
        <v/>
      </c>
      <c r="I312" s="27">
        <f>IF(G312&lt;=0,0,MIN(G312+H312,Calculator!$C$15))</f>
        <v/>
      </c>
      <c r="J312" s="29">
        <f>MAX(0,G312+H312-I312)</f>
        <v/>
      </c>
    </row>
    <row r="313">
      <c r="A313" s="30" t="n">
        <v>306</v>
      </c>
      <c r="B313" s="31">
        <f>EDATE(Calculator!$C$12,305)</f>
        <v/>
      </c>
      <c r="C313" s="32">
        <f>F312</f>
        <v/>
      </c>
      <c r="D313" s="33">
        <f>IF(C313&gt;0,C313*Calculator!$C$8/100/12,0)</f>
        <v/>
      </c>
      <c r="E313" s="32">
        <f>IF(C313&lt;=0,0,MIN(C313+D313,Calculator!$C$14))</f>
        <v/>
      </c>
      <c r="F313" s="34">
        <f>MAX(0,C313+D313-E313)</f>
        <v/>
      </c>
      <c r="G313" s="32">
        <f>J312</f>
        <v/>
      </c>
      <c r="H313" s="33">
        <f>IF(G313&gt;0,G313*Calculator!$C$8/100/12,0)</f>
        <v/>
      </c>
      <c r="I313" s="32">
        <f>IF(G313&lt;=0,0,MIN(G313+H313,Calculator!$C$15))</f>
        <v/>
      </c>
      <c r="J313" s="34">
        <f>MAX(0,G313+H313-I313)</f>
        <v/>
      </c>
    </row>
    <row r="314">
      <c r="A314" s="25" t="n">
        <v>307</v>
      </c>
      <c r="B314" s="26">
        <f>EDATE(Calculator!$C$12,306)</f>
        <v/>
      </c>
      <c r="C314" s="27">
        <f>F313</f>
        <v/>
      </c>
      <c r="D314" s="28">
        <f>IF(C314&gt;0,C314*Calculator!$C$8/100/12,0)</f>
        <v/>
      </c>
      <c r="E314" s="27">
        <f>IF(C314&lt;=0,0,MIN(C314+D314,Calculator!$C$14))</f>
        <v/>
      </c>
      <c r="F314" s="29">
        <f>MAX(0,C314+D314-E314)</f>
        <v/>
      </c>
      <c r="G314" s="27">
        <f>J313</f>
        <v/>
      </c>
      <c r="H314" s="28">
        <f>IF(G314&gt;0,G314*Calculator!$C$8/100/12,0)</f>
        <v/>
      </c>
      <c r="I314" s="27">
        <f>IF(G314&lt;=0,0,MIN(G314+H314,Calculator!$C$15))</f>
        <v/>
      </c>
      <c r="J314" s="29">
        <f>MAX(0,G314+H314-I314)</f>
        <v/>
      </c>
    </row>
    <row r="315">
      <c r="A315" s="30" t="n">
        <v>308</v>
      </c>
      <c r="B315" s="31">
        <f>EDATE(Calculator!$C$12,307)</f>
        <v/>
      </c>
      <c r="C315" s="32">
        <f>F314</f>
        <v/>
      </c>
      <c r="D315" s="33">
        <f>IF(C315&gt;0,C315*Calculator!$C$8/100/12,0)</f>
        <v/>
      </c>
      <c r="E315" s="32">
        <f>IF(C315&lt;=0,0,MIN(C315+D315,Calculator!$C$14))</f>
        <v/>
      </c>
      <c r="F315" s="34">
        <f>MAX(0,C315+D315-E315)</f>
        <v/>
      </c>
      <c r="G315" s="32">
        <f>J314</f>
        <v/>
      </c>
      <c r="H315" s="33">
        <f>IF(G315&gt;0,G315*Calculator!$C$8/100/12,0)</f>
        <v/>
      </c>
      <c r="I315" s="32">
        <f>IF(G315&lt;=0,0,MIN(G315+H315,Calculator!$C$15))</f>
        <v/>
      </c>
      <c r="J315" s="34">
        <f>MAX(0,G315+H315-I315)</f>
        <v/>
      </c>
    </row>
    <row r="316">
      <c r="A316" s="25" t="n">
        <v>309</v>
      </c>
      <c r="B316" s="26">
        <f>EDATE(Calculator!$C$12,308)</f>
        <v/>
      </c>
      <c r="C316" s="27">
        <f>F315</f>
        <v/>
      </c>
      <c r="D316" s="28">
        <f>IF(C316&gt;0,C316*Calculator!$C$8/100/12,0)</f>
        <v/>
      </c>
      <c r="E316" s="27">
        <f>IF(C316&lt;=0,0,MIN(C316+D316,Calculator!$C$14))</f>
        <v/>
      </c>
      <c r="F316" s="29">
        <f>MAX(0,C316+D316-E316)</f>
        <v/>
      </c>
      <c r="G316" s="27">
        <f>J315</f>
        <v/>
      </c>
      <c r="H316" s="28">
        <f>IF(G316&gt;0,G316*Calculator!$C$8/100/12,0)</f>
        <v/>
      </c>
      <c r="I316" s="27">
        <f>IF(G316&lt;=0,0,MIN(G316+H316,Calculator!$C$15))</f>
        <v/>
      </c>
      <c r="J316" s="29">
        <f>MAX(0,G316+H316-I316)</f>
        <v/>
      </c>
    </row>
    <row r="317">
      <c r="A317" s="30" t="n">
        <v>310</v>
      </c>
      <c r="B317" s="31">
        <f>EDATE(Calculator!$C$12,309)</f>
        <v/>
      </c>
      <c r="C317" s="32">
        <f>F316</f>
        <v/>
      </c>
      <c r="D317" s="33">
        <f>IF(C317&gt;0,C317*Calculator!$C$8/100/12,0)</f>
        <v/>
      </c>
      <c r="E317" s="32">
        <f>IF(C317&lt;=0,0,MIN(C317+D317,Calculator!$C$14))</f>
        <v/>
      </c>
      <c r="F317" s="34">
        <f>MAX(0,C317+D317-E317)</f>
        <v/>
      </c>
      <c r="G317" s="32">
        <f>J316</f>
        <v/>
      </c>
      <c r="H317" s="33">
        <f>IF(G317&gt;0,G317*Calculator!$C$8/100/12,0)</f>
        <v/>
      </c>
      <c r="I317" s="32">
        <f>IF(G317&lt;=0,0,MIN(G317+H317,Calculator!$C$15))</f>
        <v/>
      </c>
      <c r="J317" s="34">
        <f>MAX(0,G317+H317-I317)</f>
        <v/>
      </c>
    </row>
    <row r="318">
      <c r="A318" s="25" t="n">
        <v>311</v>
      </c>
      <c r="B318" s="26">
        <f>EDATE(Calculator!$C$12,310)</f>
        <v/>
      </c>
      <c r="C318" s="27">
        <f>F317</f>
        <v/>
      </c>
      <c r="D318" s="28">
        <f>IF(C318&gt;0,C318*Calculator!$C$8/100/12,0)</f>
        <v/>
      </c>
      <c r="E318" s="27">
        <f>IF(C318&lt;=0,0,MIN(C318+D318,Calculator!$C$14))</f>
        <v/>
      </c>
      <c r="F318" s="29">
        <f>MAX(0,C318+D318-E318)</f>
        <v/>
      </c>
      <c r="G318" s="27">
        <f>J317</f>
        <v/>
      </c>
      <c r="H318" s="28">
        <f>IF(G318&gt;0,G318*Calculator!$C$8/100/12,0)</f>
        <v/>
      </c>
      <c r="I318" s="27">
        <f>IF(G318&lt;=0,0,MIN(G318+H318,Calculator!$C$15))</f>
        <v/>
      </c>
      <c r="J318" s="29">
        <f>MAX(0,G318+H318-I318)</f>
        <v/>
      </c>
    </row>
    <row r="319">
      <c r="A319" s="30" t="n">
        <v>312</v>
      </c>
      <c r="B319" s="31">
        <f>EDATE(Calculator!$C$12,311)</f>
        <v/>
      </c>
      <c r="C319" s="32">
        <f>F318</f>
        <v/>
      </c>
      <c r="D319" s="33">
        <f>IF(C319&gt;0,C319*Calculator!$C$8/100/12,0)</f>
        <v/>
      </c>
      <c r="E319" s="32">
        <f>IF(C319&lt;=0,0,MIN(C319+D319,Calculator!$C$14))</f>
        <v/>
      </c>
      <c r="F319" s="34">
        <f>MAX(0,C319+D319-E319)</f>
        <v/>
      </c>
      <c r="G319" s="32">
        <f>J318</f>
        <v/>
      </c>
      <c r="H319" s="33">
        <f>IF(G319&gt;0,G319*Calculator!$C$8/100/12,0)</f>
        <v/>
      </c>
      <c r="I319" s="32">
        <f>IF(G319&lt;=0,0,MIN(G319+H319,Calculator!$C$15))</f>
        <v/>
      </c>
      <c r="J319" s="34">
        <f>MAX(0,G319+H319-I319)</f>
        <v/>
      </c>
    </row>
    <row r="320">
      <c r="A320" s="25" t="n">
        <v>313</v>
      </c>
      <c r="B320" s="26">
        <f>EDATE(Calculator!$C$12,312)</f>
        <v/>
      </c>
      <c r="C320" s="27">
        <f>F319</f>
        <v/>
      </c>
      <c r="D320" s="28">
        <f>IF(C320&gt;0,C320*Calculator!$C$8/100/12,0)</f>
        <v/>
      </c>
      <c r="E320" s="27">
        <f>IF(C320&lt;=0,0,MIN(C320+D320,Calculator!$C$14))</f>
        <v/>
      </c>
      <c r="F320" s="29">
        <f>MAX(0,C320+D320-E320)</f>
        <v/>
      </c>
      <c r="G320" s="27">
        <f>J319</f>
        <v/>
      </c>
      <c r="H320" s="28">
        <f>IF(G320&gt;0,G320*Calculator!$C$8/100/12,0)</f>
        <v/>
      </c>
      <c r="I320" s="27">
        <f>IF(G320&lt;=0,0,MIN(G320+H320,Calculator!$C$15))</f>
        <v/>
      </c>
      <c r="J320" s="29">
        <f>MAX(0,G320+H320-I320)</f>
        <v/>
      </c>
    </row>
    <row r="321">
      <c r="A321" s="30" t="n">
        <v>314</v>
      </c>
      <c r="B321" s="31">
        <f>EDATE(Calculator!$C$12,313)</f>
        <v/>
      </c>
      <c r="C321" s="32">
        <f>F320</f>
        <v/>
      </c>
      <c r="D321" s="33">
        <f>IF(C321&gt;0,C321*Calculator!$C$8/100/12,0)</f>
        <v/>
      </c>
      <c r="E321" s="32">
        <f>IF(C321&lt;=0,0,MIN(C321+D321,Calculator!$C$14))</f>
        <v/>
      </c>
      <c r="F321" s="34">
        <f>MAX(0,C321+D321-E321)</f>
        <v/>
      </c>
      <c r="G321" s="32">
        <f>J320</f>
        <v/>
      </c>
      <c r="H321" s="33">
        <f>IF(G321&gt;0,G321*Calculator!$C$8/100/12,0)</f>
        <v/>
      </c>
      <c r="I321" s="32">
        <f>IF(G321&lt;=0,0,MIN(G321+H321,Calculator!$C$15))</f>
        <v/>
      </c>
      <c r="J321" s="34">
        <f>MAX(0,G321+H321-I321)</f>
        <v/>
      </c>
    </row>
    <row r="322">
      <c r="A322" s="25" t="n">
        <v>315</v>
      </c>
      <c r="B322" s="26">
        <f>EDATE(Calculator!$C$12,314)</f>
        <v/>
      </c>
      <c r="C322" s="27">
        <f>F321</f>
        <v/>
      </c>
      <c r="D322" s="28">
        <f>IF(C322&gt;0,C322*Calculator!$C$8/100/12,0)</f>
        <v/>
      </c>
      <c r="E322" s="27">
        <f>IF(C322&lt;=0,0,MIN(C322+D322,Calculator!$C$14))</f>
        <v/>
      </c>
      <c r="F322" s="29">
        <f>MAX(0,C322+D322-E322)</f>
        <v/>
      </c>
      <c r="G322" s="27">
        <f>J321</f>
        <v/>
      </c>
      <c r="H322" s="28">
        <f>IF(G322&gt;0,G322*Calculator!$C$8/100/12,0)</f>
        <v/>
      </c>
      <c r="I322" s="27">
        <f>IF(G322&lt;=0,0,MIN(G322+H322,Calculator!$C$15))</f>
        <v/>
      </c>
      <c r="J322" s="29">
        <f>MAX(0,G322+H322-I322)</f>
        <v/>
      </c>
    </row>
    <row r="323">
      <c r="A323" s="30" t="n">
        <v>316</v>
      </c>
      <c r="B323" s="31">
        <f>EDATE(Calculator!$C$12,315)</f>
        <v/>
      </c>
      <c r="C323" s="32">
        <f>F322</f>
        <v/>
      </c>
      <c r="D323" s="33">
        <f>IF(C323&gt;0,C323*Calculator!$C$8/100/12,0)</f>
        <v/>
      </c>
      <c r="E323" s="32">
        <f>IF(C323&lt;=0,0,MIN(C323+D323,Calculator!$C$14))</f>
        <v/>
      </c>
      <c r="F323" s="34">
        <f>MAX(0,C323+D323-E323)</f>
        <v/>
      </c>
      <c r="G323" s="32">
        <f>J322</f>
        <v/>
      </c>
      <c r="H323" s="33">
        <f>IF(G323&gt;0,G323*Calculator!$C$8/100/12,0)</f>
        <v/>
      </c>
      <c r="I323" s="32">
        <f>IF(G323&lt;=0,0,MIN(G323+H323,Calculator!$C$15))</f>
        <v/>
      </c>
      <c r="J323" s="34">
        <f>MAX(0,G323+H323-I323)</f>
        <v/>
      </c>
    </row>
    <row r="324">
      <c r="A324" s="25" t="n">
        <v>317</v>
      </c>
      <c r="B324" s="26">
        <f>EDATE(Calculator!$C$12,316)</f>
        <v/>
      </c>
      <c r="C324" s="27">
        <f>F323</f>
        <v/>
      </c>
      <c r="D324" s="28">
        <f>IF(C324&gt;0,C324*Calculator!$C$8/100/12,0)</f>
        <v/>
      </c>
      <c r="E324" s="27">
        <f>IF(C324&lt;=0,0,MIN(C324+D324,Calculator!$C$14))</f>
        <v/>
      </c>
      <c r="F324" s="29">
        <f>MAX(0,C324+D324-E324)</f>
        <v/>
      </c>
      <c r="G324" s="27">
        <f>J323</f>
        <v/>
      </c>
      <c r="H324" s="28">
        <f>IF(G324&gt;0,G324*Calculator!$C$8/100/12,0)</f>
        <v/>
      </c>
      <c r="I324" s="27">
        <f>IF(G324&lt;=0,0,MIN(G324+H324,Calculator!$C$15))</f>
        <v/>
      </c>
      <c r="J324" s="29">
        <f>MAX(0,G324+H324-I324)</f>
        <v/>
      </c>
    </row>
    <row r="325">
      <c r="A325" s="30" t="n">
        <v>318</v>
      </c>
      <c r="B325" s="31">
        <f>EDATE(Calculator!$C$12,317)</f>
        <v/>
      </c>
      <c r="C325" s="32">
        <f>F324</f>
        <v/>
      </c>
      <c r="D325" s="33">
        <f>IF(C325&gt;0,C325*Calculator!$C$8/100/12,0)</f>
        <v/>
      </c>
      <c r="E325" s="32">
        <f>IF(C325&lt;=0,0,MIN(C325+D325,Calculator!$C$14))</f>
        <v/>
      </c>
      <c r="F325" s="34">
        <f>MAX(0,C325+D325-E325)</f>
        <v/>
      </c>
      <c r="G325" s="32">
        <f>J324</f>
        <v/>
      </c>
      <c r="H325" s="33">
        <f>IF(G325&gt;0,G325*Calculator!$C$8/100/12,0)</f>
        <v/>
      </c>
      <c r="I325" s="32">
        <f>IF(G325&lt;=0,0,MIN(G325+H325,Calculator!$C$15))</f>
        <v/>
      </c>
      <c r="J325" s="34">
        <f>MAX(0,G325+H325-I325)</f>
        <v/>
      </c>
    </row>
    <row r="326">
      <c r="A326" s="25" t="n">
        <v>319</v>
      </c>
      <c r="B326" s="26">
        <f>EDATE(Calculator!$C$12,318)</f>
        <v/>
      </c>
      <c r="C326" s="27">
        <f>F325</f>
        <v/>
      </c>
      <c r="D326" s="28">
        <f>IF(C326&gt;0,C326*Calculator!$C$8/100/12,0)</f>
        <v/>
      </c>
      <c r="E326" s="27">
        <f>IF(C326&lt;=0,0,MIN(C326+D326,Calculator!$C$14))</f>
        <v/>
      </c>
      <c r="F326" s="29">
        <f>MAX(0,C326+D326-E326)</f>
        <v/>
      </c>
      <c r="G326" s="27">
        <f>J325</f>
        <v/>
      </c>
      <c r="H326" s="28">
        <f>IF(G326&gt;0,G326*Calculator!$C$8/100/12,0)</f>
        <v/>
      </c>
      <c r="I326" s="27">
        <f>IF(G326&lt;=0,0,MIN(G326+H326,Calculator!$C$15))</f>
        <v/>
      </c>
      <c r="J326" s="29">
        <f>MAX(0,G326+H326-I326)</f>
        <v/>
      </c>
    </row>
    <row r="327">
      <c r="A327" s="30" t="n">
        <v>320</v>
      </c>
      <c r="B327" s="31">
        <f>EDATE(Calculator!$C$12,319)</f>
        <v/>
      </c>
      <c r="C327" s="32">
        <f>F326</f>
        <v/>
      </c>
      <c r="D327" s="33">
        <f>IF(C327&gt;0,C327*Calculator!$C$8/100/12,0)</f>
        <v/>
      </c>
      <c r="E327" s="32">
        <f>IF(C327&lt;=0,0,MIN(C327+D327,Calculator!$C$14))</f>
        <v/>
      </c>
      <c r="F327" s="34">
        <f>MAX(0,C327+D327-E327)</f>
        <v/>
      </c>
      <c r="G327" s="32">
        <f>J326</f>
        <v/>
      </c>
      <c r="H327" s="33">
        <f>IF(G327&gt;0,G327*Calculator!$C$8/100/12,0)</f>
        <v/>
      </c>
      <c r="I327" s="32">
        <f>IF(G327&lt;=0,0,MIN(G327+H327,Calculator!$C$15))</f>
        <v/>
      </c>
      <c r="J327" s="34">
        <f>MAX(0,G327+H327-I327)</f>
        <v/>
      </c>
    </row>
    <row r="328">
      <c r="A328" s="25" t="n">
        <v>321</v>
      </c>
      <c r="B328" s="26">
        <f>EDATE(Calculator!$C$12,320)</f>
        <v/>
      </c>
      <c r="C328" s="27">
        <f>F327</f>
        <v/>
      </c>
      <c r="D328" s="28">
        <f>IF(C328&gt;0,C328*Calculator!$C$8/100/12,0)</f>
        <v/>
      </c>
      <c r="E328" s="27">
        <f>IF(C328&lt;=0,0,MIN(C328+D328,Calculator!$C$14))</f>
        <v/>
      </c>
      <c r="F328" s="29">
        <f>MAX(0,C328+D328-E328)</f>
        <v/>
      </c>
      <c r="G328" s="27">
        <f>J327</f>
        <v/>
      </c>
      <c r="H328" s="28">
        <f>IF(G328&gt;0,G328*Calculator!$C$8/100/12,0)</f>
        <v/>
      </c>
      <c r="I328" s="27">
        <f>IF(G328&lt;=0,0,MIN(G328+H328,Calculator!$C$15))</f>
        <v/>
      </c>
      <c r="J328" s="29">
        <f>MAX(0,G328+H328-I328)</f>
        <v/>
      </c>
    </row>
    <row r="329">
      <c r="A329" s="30" t="n">
        <v>322</v>
      </c>
      <c r="B329" s="31">
        <f>EDATE(Calculator!$C$12,321)</f>
        <v/>
      </c>
      <c r="C329" s="32">
        <f>F328</f>
        <v/>
      </c>
      <c r="D329" s="33">
        <f>IF(C329&gt;0,C329*Calculator!$C$8/100/12,0)</f>
        <v/>
      </c>
      <c r="E329" s="32">
        <f>IF(C329&lt;=0,0,MIN(C329+D329,Calculator!$C$14))</f>
        <v/>
      </c>
      <c r="F329" s="34">
        <f>MAX(0,C329+D329-E329)</f>
        <v/>
      </c>
      <c r="G329" s="32">
        <f>J328</f>
        <v/>
      </c>
      <c r="H329" s="33">
        <f>IF(G329&gt;0,G329*Calculator!$C$8/100/12,0)</f>
        <v/>
      </c>
      <c r="I329" s="32">
        <f>IF(G329&lt;=0,0,MIN(G329+H329,Calculator!$C$15))</f>
        <v/>
      </c>
      <c r="J329" s="34">
        <f>MAX(0,G329+H329-I329)</f>
        <v/>
      </c>
    </row>
    <row r="330">
      <c r="A330" s="25" t="n">
        <v>323</v>
      </c>
      <c r="B330" s="26">
        <f>EDATE(Calculator!$C$12,322)</f>
        <v/>
      </c>
      <c r="C330" s="27">
        <f>F329</f>
        <v/>
      </c>
      <c r="D330" s="28">
        <f>IF(C330&gt;0,C330*Calculator!$C$8/100/12,0)</f>
        <v/>
      </c>
      <c r="E330" s="27">
        <f>IF(C330&lt;=0,0,MIN(C330+D330,Calculator!$C$14))</f>
        <v/>
      </c>
      <c r="F330" s="29">
        <f>MAX(0,C330+D330-E330)</f>
        <v/>
      </c>
      <c r="G330" s="27">
        <f>J329</f>
        <v/>
      </c>
      <c r="H330" s="28">
        <f>IF(G330&gt;0,G330*Calculator!$C$8/100/12,0)</f>
        <v/>
      </c>
      <c r="I330" s="27">
        <f>IF(G330&lt;=0,0,MIN(G330+H330,Calculator!$C$15))</f>
        <v/>
      </c>
      <c r="J330" s="29">
        <f>MAX(0,G330+H330-I330)</f>
        <v/>
      </c>
    </row>
    <row r="331">
      <c r="A331" s="30" t="n">
        <v>324</v>
      </c>
      <c r="B331" s="31">
        <f>EDATE(Calculator!$C$12,323)</f>
        <v/>
      </c>
      <c r="C331" s="32">
        <f>F330</f>
        <v/>
      </c>
      <c r="D331" s="33">
        <f>IF(C331&gt;0,C331*Calculator!$C$8/100/12,0)</f>
        <v/>
      </c>
      <c r="E331" s="32">
        <f>IF(C331&lt;=0,0,MIN(C331+D331,Calculator!$C$14))</f>
        <v/>
      </c>
      <c r="F331" s="34">
        <f>MAX(0,C331+D331-E331)</f>
        <v/>
      </c>
      <c r="G331" s="32">
        <f>J330</f>
        <v/>
      </c>
      <c r="H331" s="33">
        <f>IF(G331&gt;0,G331*Calculator!$C$8/100/12,0)</f>
        <v/>
      </c>
      <c r="I331" s="32">
        <f>IF(G331&lt;=0,0,MIN(G331+H331,Calculator!$C$15))</f>
        <v/>
      </c>
      <c r="J331" s="34">
        <f>MAX(0,G331+H331-I331)</f>
        <v/>
      </c>
    </row>
    <row r="332">
      <c r="A332" s="25" t="n">
        <v>325</v>
      </c>
      <c r="B332" s="26">
        <f>EDATE(Calculator!$C$12,324)</f>
        <v/>
      </c>
      <c r="C332" s="27">
        <f>F331</f>
        <v/>
      </c>
      <c r="D332" s="28">
        <f>IF(C332&gt;0,C332*Calculator!$C$8/100/12,0)</f>
        <v/>
      </c>
      <c r="E332" s="27">
        <f>IF(C332&lt;=0,0,MIN(C332+D332,Calculator!$C$14))</f>
        <v/>
      </c>
      <c r="F332" s="29">
        <f>MAX(0,C332+D332-E332)</f>
        <v/>
      </c>
      <c r="G332" s="27">
        <f>J331</f>
        <v/>
      </c>
      <c r="H332" s="28">
        <f>IF(G332&gt;0,G332*Calculator!$C$8/100/12,0)</f>
        <v/>
      </c>
      <c r="I332" s="27">
        <f>IF(G332&lt;=0,0,MIN(G332+H332,Calculator!$C$15))</f>
        <v/>
      </c>
      <c r="J332" s="29">
        <f>MAX(0,G332+H332-I332)</f>
        <v/>
      </c>
    </row>
    <row r="333">
      <c r="A333" s="30" t="n">
        <v>326</v>
      </c>
      <c r="B333" s="31">
        <f>EDATE(Calculator!$C$12,325)</f>
        <v/>
      </c>
      <c r="C333" s="32">
        <f>F332</f>
        <v/>
      </c>
      <c r="D333" s="33">
        <f>IF(C333&gt;0,C333*Calculator!$C$8/100/12,0)</f>
        <v/>
      </c>
      <c r="E333" s="32">
        <f>IF(C333&lt;=0,0,MIN(C333+D333,Calculator!$C$14))</f>
        <v/>
      </c>
      <c r="F333" s="34">
        <f>MAX(0,C333+D333-E333)</f>
        <v/>
      </c>
      <c r="G333" s="32">
        <f>J332</f>
        <v/>
      </c>
      <c r="H333" s="33">
        <f>IF(G333&gt;0,G333*Calculator!$C$8/100/12,0)</f>
        <v/>
      </c>
      <c r="I333" s="32">
        <f>IF(G333&lt;=0,0,MIN(G333+H333,Calculator!$C$15))</f>
        <v/>
      </c>
      <c r="J333" s="34">
        <f>MAX(0,G333+H333-I333)</f>
        <v/>
      </c>
    </row>
    <row r="334">
      <c r="A334" s="25" t="n">
        <v>327</v>
      </c>
      <c r="B334" s="26">
        <f>EDATE(Calculator!$C$12,326)</f>
        <v/>
      </c>
      <c r="C334" s="27">
        <f>F333</f>
        <v/>
      </c>
      <c r="D334" s="28">
        <f>IF(C334&gt;0,C334*Calculator!$C$8/100/12,0)</f>
        <v/>
      </c>
      <c r="E334" s="27">
        <f>IF(C334&lt;=0,0,MIN(C334+D334,Calculator!$C$14))</f>
        <v/>
      </c>
      <c r="F334" s="29">
        <f>MAX(0,C334+D334-E334)</f>
        <v/>
      </c>
      <c r="G334" s="27">
        <f>J333</f>
        <v/>
      </c>
      <c r="H334" s="28">
        <f>IF(G334&gt;0,G334*Calculator!$C$8/100/12,0)</f>
        <v/>
      </c>
      <c r="I334" s="27">
        <f>IF(G334&lt;=0,0,MIN(G334+H334,Calculator!$C$15))</f>
        <v/>
      </c>
      <c r="J334" s="29">
        <f>MAX(0,G334+H334-I334)</f>
        <v/>
      </c>
    </row>
    <row r="335">
      <c r="A335" s="30" t="n">
        <v>328</v>
      </c>
      <c r="B335" s="31">
        <f>EDATE(Calculator!$C$12,327)</f>
        <v/>
      </c>
      <c r="C335" s="32">
        <f>F334</f>
        <v/>
      </c>
      <c r="D335" s="33">
        <f>IF(C335&gt;0,C335*Calculator!$C$8/100/12,0)</f>
        <v/>
      </c>
      <c r="E335" s="32">
        <f>IF(C335&lt;=0,0,MIN(C335+D335,Calculator!$C$14))</f>
        <v/>
      </c>
      <c r="F335" s="34">
        <f>MAX(0,C335+D335-E335)</f>
        <v/>
      </c>
      <c r="G335" s="32">
        <f>J334</f>
        <v/>
      </c>
      <c r="H335" s="33">
        <f>IF(G335&gt;0,G335*Calculator!$C$8/100/12,0)</f>
        <v/>
      </c>
      <c r="I335" s="32">
        <f>IF(G335&lt;=0,0,MIN(G335+H335,Calculator!$C$15))</f>
        <v/>
      </c>
      <c r="J335" s="34">
        <f>MAX(0,G335+H335-I335)</f>
        <v/>
      </c>
    </row>
    <row r="336">
      <c r="A336" s="25" t="n">
        <v>329</v>
      </c>
      <c r="B336" s="26">
        <f>EDATE(Calculator!$C$12,328)</f>
        <v/>
      </c>
      <c r="C336" s="27">
        <f>F335</f>
        <v/>
      </c>
      <c r="D336" s="28">
        <f>IF(C336&gt;0,C336*Calculator!$C$8/100/12,0)</f>
        <v/>
      </c>
      <c r="E336" s="27">
        <f>IF(C336&lt;=0,0,MIN(C336+D336,Calculator!$C$14))</f>
        <v/>
      </c>
      <c r="F336" s="29">
        <f>MAX(0,C336+D336-E336)</f>
        <v/>
      </c>
      <c r="G336" s="27">
        <f>J335</f>
        <v/>
      </c>
      <c r="H336" s="28">
        <f>IF(G336&gt;0,G336*Calculator!$C$8/100/12,0)</f>
        <v/>
      </c>
      <c r="I336" s="27">
        <f>IF(G336&lt;=0,0,MIN(G336+H336,Calculator!$C$15))</f>
        <v/>
      </c>
      <c r="J336" s="29">
        <f>MAX(0,G336+H336-I336)</f>
        <v/>
      </c>
    </row>
    <row r="337">
      <c r="A337" s="30" t="n">
        <v>330</v>
      </c>
      <c r="B337" s="31">
        <f>EDATE(Calculator!$C$12,329)</f>
        <v/>
      </c>
      <c r="C337" s="32">
        <f>F336</f>
        <v/>
      </c>
      <c r="D337" s="33">
        <f>IF(C337&gt;0,C337*Calculator!$C$8/100/12,0)</f>
        <v/>
      </c>
      <c r="E337" s="32">
        <f>IF(C337&lt;=0,0,MIN(C337+D337,Calculator!$C$14))</f>
        <v/>
      </c>
      <c r="F337" s="34">
        <f>MAX(0,C337+D337-E337)</f>
        <v/>
      </c>
      <c r="G337" s="32">
        <f>J336</f>
        <v/>
      </c>
      <c r="H337" s="33">
        <f>IF(G337&gt;0,G337*Calculator!$C$8/100/12,0)</f>
        <v/>
      </c>
      <c r="I337" s="32">
        <f>IF(G337&lt;=0,0,MIN(G337+H337,Calculator!$C$15))</f>
        <v/>
      </c>
      <c r="J337" s="34">
        <f>MAX(0,G337+H337-I337)</f>
        <v/>
      </c>
    </row>
    <row r="338">
      <c r="A338" s="25" t="n">
        <v>331</v>
      </c>
      <c r="B338" s="26">
        <f>EDATE(Calculator!$C$12,330)</f>
        <v/>
      </c>
      <c r="C338" s="27">
        <f>F337</f>
        <v/>
      </c>
      <c r="D338" s="28">
        <f>IF(C338&gt;0,C338*Calculator!$C$8/100/12,0)</f>
        <v/>
      </c>
      <c r="E338" s="27">
        <f>IF(C338&lt;=0,0,MIN(C338+D338,Calculator!$C$14))</f>
        <v/>
      </c>
      <c r="F338" s="29">
        <f>MAX(0,C338+D338-E338)</f>
        <v/>
      </c>
      <c r="G338" s="27">
        <f>J337</f>
        <v/>
      </c>
      <c r="H338" s="28">
        <f>IF(G338&gt;0,G338*Calculator!$C$8/100/12,0)</f>
        <v/>
      </c>
      <c r="I338" s="27">
        <f>IF(G338&lt;=0,0,MIN(G338+H338,Calculator!$C$15))</f>
        <v/>
      </c>
      <c r="J338" s="29">
        <f>MAX(0,G338+H338-I338)</f>
        <v/>
      </c>
    </row>
    <row r="339">
      <c r="A339" s="30" t="n">
        <v>332</v>
      </c>
      <c r="B339" s="31">
        <f>EDATE(Calculator!$C$12,331)</f>
        <v/>
      </c>
      <c r="C339" s="32">
        <f>F338</f>
        <v/>
      </c>
      <c r="D339" s="33">
        <f>IF(C339&gt;0,C339*Calculator!$C$8/100/12,0)</f>
        <v/>
      </c>
      <c r="E339" s="32">
        <f>IF(C339&lt;=0,0,MIN(C339+D339,Calculator!$C$14))</f>
        <v/>
      </c>
      <c r="F339" s="34">
        <f>MAX(0,C339+D339-E339)</f>
        <v/>
      </c>
      <c r="G339" s="32">
        <f>J338</f>
        <v/>
      </c>
      <c r="H339" s="33">
        <f>IF(G339&gt;0,G339*Calculator!$C$8/100/12,0)</f>
        <v/>
      </c>
      <c r="I339" s="32">
        <f>IF(G339&lt;=0,0,MIN(G339+H339,Calculator!$C$15))</f>
        <v/>
      </c>
      <c r="J339" s="34">
        <f>MAX(0,G339+H339-I339)</f>
        <v/>
      </c>
    </row>
    <row r="340">
      <c r="A340" s="25" t="n">
        <v>333</v>
      </c>
      <c r="B340" s="26">
        <f>EDATE(Calculator!$C$12,332)</f>
        <v/>
      </c>
      <c r="C340" s="27">
        <f>F339</f>
        <v/>
      </c>
      <c r="D340" s="28">
        <f>IF(C340&gt;0,C340*Calculator!$C$8/100/12,0)</f>
        <v/>
      </c>
      <c r="E340" s="27">
        <f>IF(C340&lt;=0,0,MIN(C340+D340,Calculator!$C$14))</f>
        <v/>
      </c>
      <c r="F340" s="29">
        <f>MAX(0,C340+D340-E340)</f>
        <v/>
      </c>
      <c r="G340" s="27">
        <f>J339</f>
        <v/>
      </c>
      <c r="H340" s="28">
        <f>IF(G340&gt;0,G340*Calculator!$C$8/100/12,0)</f>
        <v/>
      </c>
      <c r="I340" s="27">
        <f>IF(G340&lt;=0,0,MIN(G340+H340,Calculator!$C$15))</f>
        <v/>
      </c>
      <c r="J340" s="29">
        <f>MAX(0,G340+H340-I340)</f>
        <v/>
      </c>
    </row>
    <row r="341">
      <c r="A341" s="30" t="n">
        <v>334</v>
      </c>
      <c r="B341" s="31">
        <f>EDATE(Calculator!$C$12,333)</f>
        <v/>
      </c>
      <c r="C341" s="32">
        <f>F340</f>
        <v/>
      </c>
      <c r="D341" s="33">
        <f>IF(C341&gt;0,C341*Calculator!$C$8/100/12,0)</f>
        <v/>
      </c>
      <c r="E341" s="32">
        <f>IF(C341&lt;=0,0,MIN(C341+D341,Calculator!$C$14))</f>
        <v/>
      </c>
      <c r="F341" s="34">
        <f>MAX(0,C341+D341-E341)</f>
        <v/>
      </c>
      <c r="G341" s="32">
        <f>J340</f>
        <v/>
      </c>
      <c r="H341" s="33">
        <f>IF(G341&gt;0,G341*Calculator!$C$8/100/12,0)</f>
        <v/>
      </c>
      <c r="I341" s="32">
        <f>IF(G341&lt;=0,0,MIN(G341+H341,Calculator!$C$15))</f>
        <v/>
      </c>
      <c r="J341" s="34">
        <f>MAX(0,G341+H341-I341)</f>
        <v/>
      </c>
    </row>
    <row r="342">
      <c r="A342" s="25" t="n">
        <v>335</v>
      </c>
      <c r="B342" s="26">
        <f>EDATE(Calculator!$C$12,334)</f>
        <v/>
      </c>
      <c r="C342" s="27">
        <f>F341</f>
        <v/>
      </c>
      <c r="D342" s="28">
        <f>IF(C342&gt;0,C342*Calculator!$C$8/100/12,0)</f>
        <v/>
      </c>
      <c r="E342" s="27">
        <f>IF(C342&lt;=0,0,MIN(C342+D342,Calculator!$C$14))</f>
        <v/>
      </c>
      <c r="F342" s="29">
        <f>MAX(0,C342+D342-E342)</f>
        <v/>
      </c>
      <c r="G342" s="27">
        <f>J341</f>
        <v/>
      </c>
      <c r="H342" s="28">
        <f>IF(G342&gt;0,G342*Calculator!$C$8/100/12,0)</f>
        <v/>
      </c>
      <c r="I342" s="27">
        <f>IF(G342&lt;=0,0,MIN(G342+H342,Calculator!$C$15))</f>
        <v/>
      </c>
      <c r="J342" s="29">
        <f>MAX(0,G342+H342-I342)</f>
        <v/>
      </c>
    </row>
    <row r="343">
      <c r="A343" s="30" t="n">
        <v>336</v>
      </c>
      <c r="B343" s="31">
        <f>EDATE(Calculator!$C$12,335)</f>
        <v/>
      </c>
      <c r="C343" s="32">
        <f>F342</f>
        <v/>
      </c>
      <c r="D343" s="33">
        <f>IF(C343&gt;0,C343*Calculator!$C$8/100/12,0)</f>
        <v/>
      </c>
      <c r="E343" s="32">
        <f>IF(C343&lt;=0,0,MIN(C343+D343,Calculator!$C$14))</f>
        <v/>
      </c>
      <c r="F343" s="34">
        <f>MAX(0,C343+D343-E343)</f>
        <v/>
      </c>
      <c r="G343" s="32">
        <f>J342</f>
        <v/>
      </c>
      <c r="H343" s="33">
        <f>IF(G343&gt;0,G343*Calculator!$C$8/100/12,0)</f>
        <v/>
      </c>
      <c r="I343" s="32">
        <f>IF(G343&lt;=0,0,MIN(G343+H343,Calculator!$C$15))</f>
        <v/>
      </c>
      <c r="J343" s="34">
        <f>MAX(0,G343+H343-I343)</f>
        <v/>
      </c>
    </row>
    <row r="344">
      <c r="A344" s="25" t="n">
        <v>337</v>
      </c>
      <c r="B344" s="26">
        <f>EDATE(Calculator!$C$12,336)</f>
        <v/>
      </c>
      <c r="C344" s="27">
        <f>F343</f>
        <v/>
      </c>
      <c r="D344" s="28">
        <f>IF(C344&gt;0,C344*Calculator!$C$8/100/12,0)</f>
        <v/>
      </c>
      <c r="E344" s="27">
        <f>IF(C344&lt;=0,0,MIN(C344+D344,Calculator!$C$14))</f>
        <v/>
      </c>
      <c r="F344" s="29">
        <f>MAX(0,C344+D344-E344)</f>
        <v/>
      </c>
      <c r="G344" s="27">
        <f>J343</f>
        <v/>
      </c>
      <c r="H344" s="28">
        <f>IF(G344&gt;0,G344*Calculator!$C$8/100/12,0)</f>
        <v/>
      </c>
      <c r="I344" s="27">
        <f>IF(G344&lt;=0,0,MIN(G344+H344,Calculator!$C$15))</f>
        <v/>
      </c>
      <c r="J344" s="29">
        <f>MAX(0,G344+H344-I344)</f>
        <v/>
      </c>
    </row>
    <row r="345">
      <c r="A345" s="30" t="n">
        <v>338</v>
      </c>
      <c r="B345" s="31">
        <f>EDATE(Calculator!$C$12,337)</f>
        <v/>
      </c>
      <c r="C345" s="32">
        <f>F344</f>
        <v/>
      </c>
      <c r="D345" s="33">
        <f>IF(C345&gt;0,C345*Calculator!$C$8/100/12,0)</f>
        <v/>
      </c>
      <c r="E345" s="32">
        <f>IF(C345&lt;=0,0,MIN(C345+D345,Calculator!$C$14))</f>
        <v/>
      </c>
      <c r="F345" s="34">
        <f>MAX(0,C345+D345-E345)</f>
        <v/>
      </c>
      <c r="G345" s="32">
        <f>J344</f>
        <v/>
      </c>
      <c r="H345" s="33">
        <f>IF(G345&gt;0,G345*Calculator!$C$8/100/12,0)</f>
        <v/>
      </c>
      <c r="I345" s="32">
        <f>IF(G345&lt;=0,0,MIN(G345+H345,Calculator!$C$15))</f>
        <v/>
      </c>
      <c r="J345" s="34">
        <f>MAX(0,G345+H345-I345)</f>
        <v/>
      </c>
    </row>
    <row r="346">
      <c r="A346" s="25" t="n">
        <v>339</v>
      </c>
      <c r="B346" s="26">
        <f>EDATE(Calculator!$C$12,338)</f>
        <v/>
      </c>
      <c r="C346" s="27">
        <f>F345</f>
        <v/>
      </c>
      <c r="D346" s="28">
        <f>IF(C346&gt;0,C346*Calculator!$C$8/100/12,0)</f>
        <v/>
      </c>
      <c r="E346" s="27">
        <f>IF(C346&lt;=0,0,MIN(C346+D346,Calculator!$C$14))</f>
        <v/>
      </c>
      <c r="F346" s="29">
        <f>MAX(0,C346+D346-E346)</f>
        <v/>
      </c>
      <c r="G346" s="27">
        <f>J345</f>
        <v/>
      </c>
      <c r="H346" s="28">
        <f>IF(G346&gt;0,G346*Calculator!$C$8/100/12,0)</f>
        <v/>
      </c>
      <c r="I346" s="27">
        <f>IF(G346&lt;=0,0,MIN(G346+H346,Calculator!$C$15))</f>
        <v/>
      </c>
      <c r="J346" s="29">
        <f>MAX(0,G346+H346-I346)</f>
        <v/>
      </c>
    </row>
    <row r="347">
      <c r="A347" s="30" t="n">
        <v>340</v>
      </c>
      <c r="B347" s="31">
        <f>EDATE(Calculator!$C$12,339)</f>
        <v/>
      </c>
      <c r="C347" s="32">
        <f>F346</f>
        <v/>
      </c>
      <c r="D347" s="33">
        <f>IF(C347&gt;0,C347*Calculator!$C$8/100/12,0)</f>
        <v/>
      </c>
      <c r="E347" s="32">
        <f>IF(C347&lt;=0,0,MIN(C347+D347,Calculator!$C$14))</f>
        <v/>
      </c>
      <c r="F347" s="34">
        <f>MAX(0,C347+D347-E347)</f>
        <v/>
      </c>
      <c r="G347" s="32">
        <f>J346</f>
        <v/>
      </c>
      <c r="H347" s="33">
        <f>IF(G347&gt;0,G347*Calculator!$C$8/100/12,0)</f>
        <v/>
      </c>
      <c r="I347" s="32">
        <f>IF(G347&lt;=0,0,MIN(G347+H347,Calculator!$C$15))</f>
        <v/>
      </c>
      <c r="J347" s="34">
        <f>MAX(0,G347+H347-I347)</f>
        <v/>
      </c>
    </row>
    <row r="348">
      <c r="A348" s="25" t="n">
        <v>341</v>
      </c>
      <c r="B348" s="26">
        <f>EDATE(Calculator!$C$12,340)</f>
        <v/>
      </c>
      <c r="C348" s="27">
        <f>F347</f>
        <v/>
      </c>
      <c r="D348" s="28">
        <f>IF(C348&gt;0,C348*Calculator!$C$8/100/12,0)</f>
        <v/>
      </c>
      <c r="E348" s="27">
        <f>IF(C348&lt;=0,0,MIN(C348+D348,Calculator!$C$14))</f>
        <v/>
      </c>
      <c r="F348" s="29">
        <f>MAX(0,C348+D348-E348)</f>
        <v/>
      </c>
      <c r="G348" s="27">
        <f>J347</f>
        <v/>
      </c>
      <c r="H348" s="28">
        <f>IF(G348&gt;0,G348*Calculator!$C$8/100/12,0)</f>
        <v/>
      </c>
      <c r="I348" s="27">
        <f>IF(G348&lt;=0,0,MIN(G348+H348,Calculator!$C$15))</f>
        <v/>
      </c>
      <c r="J348" s="29">
        <f>MAX(0,G348+H348-I348)</f>
        <v/>
      </c>
    </row>
    <row r="349">
      <c r="A349" s="30" t="n">
        <v>342</v>
      </c>
      <c r="B349" s="31">
        <f>EDATE(Calculator!$C$12,341)</f>
        <v/>
      </c>
      <c r="C349" s="32">
        <f>F348</f>
        <v/>
      </c>
      <c r="D349" s="33">
        <f>IF(C349&gt;0,C349*Calculator!$C$8/100/12,0)</f>
        <v/>
      </c>
      <c r="E349" s="32">
        <f>IF(C349&lt;=0,0,MIN(C349+D349,Calculator!$C$14))</f>
        <v/>
      </c>
      <c r="F349" s="34">
        <f>MAX(0,C349+D349-E349)</f>
        <v/>
      </c>
      <c r="G349" s="32">
        <f>J348</f>
        <v/>
      </c>
      <c r="H349" s="33">
        <f>IF(G349&gt;0,G349*Calculator!$C$8/100/12,0)</f>
        <v/>
      </c>
      <c r="I349" s="32">
        <f>IF(G349&lt;=0,0,MIN(G349+H349,Calculator!$C$15))</f>
        <v/>
      </c>
      <c r="J349" s="34">
        <f>MAX(0,G349+H349-I349)</f>
        <v/>
      </c>
    </row>
    <row r="350">
      <c r="A350" s="25" t="n">
        <v>343</v>
      </c>
      <c r="B350" s="26">
        <f>EDATE(Calculator!$C$12,342)</f>
        <v/>
      </c>
      <c r="C350" s="27">
        <f>F349</f>
        <v/>
      </c>
      <c r="D350" s="28">
        <f>IF(C350&gt;0,C350*Calculator!$C$8/100/12,0)</f>
        <v/>
      </c>
      <c r="E350" s="27">
        <f>IF(C350&lt;=0,0,MIN(C350+D350,Calculator!$C$14))</f>
        <v/>
      </c>
      <c r="F350" s="29">
        <f>MAX(0,C350+D350-E350)</f>
        <v/>
      </c>
      <c r="G350" s="27">
        <f>J349</f>
        <v/>
      </c>
      <c r="H350" s="28">
        <f>IF(G350&gt;0,G350*Calculator!$C$8/100/12,0)</f>
        <v/>
      </c>
      <c r="I350" s="27">
        <f>IF(G350&lt;=0,0,MIN(G350+H350,Calculator!$C$15))</f>
        <v/>
      </c>
      <c r="J350" s="29">
        <f>MAX(0,G350+H350-I350)</f>
        <v/>
      </c>
    </row>
    <row r="351">
      <c r="A351" s="30" t="n">
        <v>344</v>
      </c>
      <c r="B351" s="31">
        <f>EDATE(Calculator!$C$12,343)</f>
        <v/>
      </c>
      <c r="C351" s="32">
        <f>F350</f>
        <v/>
      </c>
      <c r="D351" s="33">
        <f>IF(C351&gt;0,C351*Calculator!$C$8/100/12,0)</f>
        <v/>
      </c>
      <c r="E351" s="32">
        <f>IF(C351&lt;=0,0,MIN(C351+D351,Calculator!$C$14))</f>
        <v/>
      </c>
      <c r="F351" s="34">
        <f>MAX(0,C351+D351-E351)</f>
        <v/>
      </c>
      <c r="G351" s="32">
        <f>J350</f>
        <v/>
      </c>
      <c r="H351" s="33">
        <f>IF(G351&gt;0,G351*Calculator!$C$8/100/12,0)</f>
        <v/>
      </c>
      <c r="I351" s="32">
        <f>IF(G351&lt;=0,0,MIN(G351+H351,Calculator!$C$15))</f>
        <v/>
      </c>
      <c r="J351" s="34">
        <f>MAX(0,G351+H351-I351)</f>
        <v/>
      </c>
    </row>
    <row r="352">
      <c r="A352" s="25" t="n">
        <v>345</v>
      </c>
      <c r="B352" s="26">
        <f>EDATE(Calculator!$C$12,344)</f>
        <v/>
      </c>
      <c r="C352" s="27">
        <f>F351</f>
        <v/>
      </c>
      <c r="D352" s="28">
        <f>IF(C352&gt;0,C352*Calculator!$C$8/100/12,0)</f>
        <v/>
      </c>
      <c r="E352" s="27">
        <f>IF(C352&lt;=0,0,MIN(C352+D352,Calculator!$C$14))</f>
        <v/>
      </c>
      <c r="F352" s="29">
        <f>MAX(0,C352+D352-E352)</f>
        <v/>
      </c>
      <c r="G352" s="27">
        <f>J351</f>
        <v/>
      </c>
      <c r="H352" s="28">
        <f>IF(G352&gt;0,G352*Calculator!$C$8/100/12,0)</f>
        <v/>
      </c>
      <c r="I352" s="27">
        <f>IF(G352&lt;=0,0,MIN(G352+H352,Calculator!$C$15))</f>
        <v/>
      </c>
      <c r="J352" s="29">
        <f>MAX(0,G352+H352-I352)</f>
        <v/>
      </c>
    </row>
    <row r="353">
      <c r="A353" s="30" t="n">
        <v>346</v>
      </c>
      <c r="B353" s="31">
        <f>EDATE(Calculator!$C$12,345)</f>
        <v/>
      </c>
      <c r="C353" s="32">
        <f>F352</f>
        <v/>
      </c>
      <c r="D353" s="33">
        <f>IF(C353&gt;0,C353*Calculator!$C$8/100/12,0)</f>
        <v/>
      </c>
      <c r="E353" s="32">
        <f>IF(C353&lt;=0,0,MIN(C353+D353,Calculator!$C$14))</f>
        <v/>
      </c>
      <c r="F353" s="34">
        <f>MAX(0,C353+D353-E353)</f>
        <v/>
      </c>
      <c r="G353" s="32">
        <f>J352</f>
        <v/>
      </c>
      <c r="H353" s="33">
        <f>IF(G353&gt;0,G353*Calculator!$C$8/100/12,0)</f>
        <v/>
      </c>
      <c r="I353" s="32">
        <f>IF(G353&lt;=0,0,MIN(G353+H353,Calculator!$C$15))</f>
        <v/>
      </c>
      <c r="J353" s="34">
        <f>MAX(0,G353+H353-I353)</f>
        <v/>
      </c>
    </row>
    <row r="354">
      <c r="A354" s="25" t="n">
        <v>347</v>
      </c>
      <c r="B354" s="26">
        <f>EDATE(Calculator!$C$12,346)</f>
        <v/>
      </c>
      <c r="C354" s="27">
        <f>F353</f>
        <v/>
      </c>
      <c r="D354" s="28">
        <f>IF(C354&gt;0,C354*Calculator!$C$8/100/12,0)</f>
        <v/>
      </c>
      <c r="E354" s="27">
        <f>IF(C354&lt;=0,0,MIN(C354+D354,Calculator!$C$14))</f>
        <v/>
      </c>
      <c r="F354" s="29">
        <f>MAX(0,C354+D354-E354)</f>
        <v/>
      </c>
      <c r="G354" s="27">
        <f>J353</f>
        <v/>
      </c>
      <c r="H354" s="28">
        <f>IF(G354&gt;0,G354*Calculator!$C$8/100/12,0)</f>
        <v/>
      </c>
      <c r="I354" s="27">
        <f>IF(G354&lt;=0,0,MIN(G354+H354,Calculator!$C$15))</f>
        <v/>
      </c>
      <c r="J354" s="29">
        <f>MAX(0,G354+H354-I354)</f>
        <v/>
      </c>
    </row>
    <row r="355">
      <c r="A355" s="30" t="n">
        <v>348</v>
      </c>
      <c r="B355" s="31">
        <f>EDATE(Calculator!$C$12,347)</f>
        <v/>
      </c>
      <c r="C355" s="32">
        <f>F354</f>
        <v/>
      </c>
      <c r="D355" s="33">
        <f>IF(C355&gt;0,C355*Calculator!$C$8/100/12,0)</f>
        <v/>
      </c>
      <c r="E355" s="32">
        <f>IF(C355&lt;=0,0,MIN(C355+D355,Calculator!$C$14))</f>
        <v/>
      </c>
      <c r="F355" s="34">
        <f>MAX(0,C355+D355-E355)</f>
        <v/>
      </c>
      <c r="G355" s="32">
        <f>J354</f>
        <v/>
      </c>
      <c r="H355" s="33">
        <f>IF(G355&gt;0,G355*Calculator!$C$8/100/12,0)</f>
        <v/>
      </c>
      <c r="I355" s="32">
        <f>IF(G355&lt;=0,0,MIN(G355+H355,Calculator!$C$15))</f>
        <v/>
      </c>
      <c r="J355" s="34">
        <f>MAX(0,G355+H355-I355)</f>
        <v/>
      </c>
    </row>
    <row r="356">
      <c r="A356" s="25" t="n">
        <v>349</v>
      </c>
      <c r="B356" s="26">
        <f>EDATE(Calculator!$C$12,348)</f>
        <v/>
      </c>
      <c r="C356" s="27">
        <f>F355</f>
        <v/>
      </c>
      <c r="D356" s="28">
        <f>IF(C356&gt;0,C356*Calculator!$C$8/100/12,0)</f>
        <v/>
      </c>
      <c r="E356" s="27">
        <f>IF(C356&lt;=0,0,MIN(C356+D356,Calculator!$C$14))</f>
        <v/>
      </c>
      <c r="F356" s="29">
        <f>MAX(0,C356+D356-E356)</f>
        <v/>
      </c>
      <c r="G356" s="27">
        <f>J355</f>
        <v/>
      </c>
      <c r="H356" s="28">
        <f>IF(G356&gt;0,G356*Calculator!$C$8/100/12,0)</f>
        <v/>
      </c>
      <c r="I356" s="27">
        <f>IF(G356&lt;=0,0,MIN(G356+H356,Calculator!$C$15))</f>
        <v/>
      </c>
      <c r="J356" s="29">
        <f>MAX(0,G356+H356-I356)</f>
        <v/>
      </c>
    </row>
    <row r="357">
      <c r="A357" s="30" t="n">
        <v>350</v>
      </c>
      <c r="B357" s="31">
        <f>EDATE(Calculator!$C$12,349)</f>
        <v/>
      </c>
      <c r="C357" s="32">
        <f>F356</f>
        <v/>
      </c>
      <c r="D357" s="33">
        <f>IF(C357&gt;0,C357*Calculator!$C$8/100/12,0)</f>
        <v/>
      </c>
      <c r="E357" s="32">
        <f>IF(C357&lt;=0,0,MIN(C357+D357,Calculator!$C$14))</f>
        <v/>
      </c>
      <c r="F357" s="34">
        <f>MAX(0,C357+D357-E357)</f>
        <v/>
      </c>
      <c r="G357" s="32">
        <f>J356</f>
        <v/>
      </c>
      <c r="H357" s="33">
        <f>IF(G357&gt;0,G357*Calculator!$C$8/100/12,0)</f>
        <v/>
      </c>
      <c r="I357" s="32">
        <f>IF(G357&lt;=0,0,MIN(G357+H357,Calculator!$C$15))</f>
        <v/>
      </c>
      <c r="J357" s="34">
        <f>MAX(0,G357+H357-I357)</f>
        <v/>
      </c>
    </row>
    <row r="358">
      <c r="A358" s="25" t="n">
        <v>351</v>
      </c>
      <c r="B358" s="26">
        <f>EDATE(Calculator!$C$12,350)</f>
        <v/>
      </c>
      <c r="C358" s="27">
        <f>F357</f>
        <v/>
      </c>
      <c r="D358" s="28">
        <f>IF(C358&gt;0,C358*Calculator!$C$8/100/12,0)</f>
        <v/>
      </c>
      <c r="E358" s="27">
        <f>IF(C358&lt;=0,0,MIN(C358+D358,Calculator!$C$14))</f>
        <v/>
      </c>
      <c r="F358" s="29">
        <f>MAX(0,C358+D358-E358)</f>
        <v/>
      </c>
      <c r="G358" s="27">
        <f>J357</f>
        <v/>
      </c>
      <c r="H358" s="28">
        <f>IF(G358&gt;0,G358*Calculator!$C$8/100/12,0)</f>
        <v/>
      </c>
      <c r="I358" s="27">
        <f>IF(G358&lt;=0,0,MIN(G358+H358,Calculator!$C$15))</f>
        <v/>
      </c>
      <c r="J358" s="29">
        <f>MAX(0,G358+H358-I358)</f>
        <v/>
      </c>
    </row>
    <row r="359">
      <c r="A359" s="30" t="n">
        <v>352</v>
      </c>
      <c r="B359" s="31">
        <f>EDATE(Calculator!$C$12,351)</f>
        <v/>
      </c>
      <c r="C359" s="32">
        <f>F358</f>
        <v/>
      </c>
      <c r="D359" s="33">
        <f>IF(C359&gt;0,C359*Calculator!$C$8/100/12,0)</f>
        <v/>
      </c>
      <c r="E359" s="32">
        <f>IF(C359&lt;=0,0,MIN(C359+D359,Calculator!$C$14))</f>
        <v/>
      </c>
      <c r="F359" s="34">
        <f>MAX(0,C359+D359-E359)</f>
        <v/>
      </c>
      <c r="G359" s="32">
        <f>J358</f>
        <v/>
      </c>
      <c r="H359" s="33">
        <f>IF(G359&gt;0,G359*Calculator!$C$8/100/12,0)</f>
        <v/>
      </c>
      <c r="I359" s="32">
        <f>IF(G359&lt;=0,0,MIN(G359+H359,Calculator!$C$15))</f>
        <v/>
      </c>
      <c r="J359" s="34">
        <f>MAX(0,G359+H359-I359)</f>
        <v/>
      </c>
    </row>
    <row r="360">
      <c r="A360" s="25" t="n">
        <v>353</v>
      </c>
      <c r="B360" s="26">
        <f>EDATE(Calculator!$C$12,352)</f>
        <v/>
      </c>
      <c r="C360" s="27">
        <f>F359</f>
        <v/>
      </c>
      <c r="D360" s="28">
        <f>IF(C360&gt;0,C360*Calculator!$C$8/100/12,0)</f>
        <v/>
      </c>
      <c r="E360" s="27">
        <f>IF(C360&lt;=0,0,MIN(C360+D360,Calculator!$C$14))</f>
        <v/>
      </c>
      <c r="F360" s="29">
        <f>MAX(0,C360+D360-E360)</f>
        <v/>
      </c>
      <c r="G360" s="27">
        <f>J359</f>
        <v/>
      </c>
      <c r="H360" s="28">
        <f>IF(G360&gt;0,G360*Calculator!$C$8/100/12,0)</f>
        <v/>
      </c>
      <c r="I360" s="27">
        <f>IF(G360&lt;=0,0,MIN(G360+H360,Calculator!$C$15))</f>
        <v/>
      </c>
      <c r="J360" s="29">
        <f>MAX(0,G360+H360-I360)</f>
        <v/>
      </c>
    </row>
    <row r="361">
      <c r="A361" s="30" t="n">
        <v>354</v>
      </c>
      <c r="B361" s="31">
        <f>EDATE(Calculator!$C$12,353)</f>
        <v/>
      </c>
      <c r="C361" s="32">
        <f>F360</f>
        <v/>
      </c>
      <c r="D361" s="33">
        <f>IF(C361&gt;0,C361*Calculator!$C$8/100/12,0)</f>
        <v/>
      </c>
      <c r="E361" s="32">
        <f>IF(C361&lt;=0,0,MIN(C361+D361,Calculator!$C$14))</f>
        <v/>
      </c>
      <c r="F361" s="34">
        <f>MAX(0,C361+D361-E361)</f>
        <v/>
      </c>
      <c r="G361" s="32">
        <f>J360</f>
        <v/>
      </c>
      <c r="H361" s="33">
        <f>IF(G361&gt;0,G361*Calculator!$C$8/100/12,0)</f>
        <v/>
      </c>
      <c r="I361" s="32">
        <f>IF(G361&lt;=0,0,MIN(G361+H361,Calculator!$C$15))</f>
        <v/>
      </c>
      <c r="J361" s="34">
        <f>MAX(0,G361+H361-I361)</f>
        <v/>
      </c>
    </row>
    <row r="362">
      <c r="A362" s="25" t="n">
        <v>355</v>
      </c>
      <c r="B362" s="26">
        <f>EDATE(Calculator!$C$12,354)</f>
        <v/>
      </c>
      <c r="C362" s="27">
        <f>F361</f>
        <v/>
      </c>
      <c r="D362" s="28">
        <f>IF(C362&gt;0,C362*Calculator!$C$8/100/12,0)</f>
        <v/>
      </c>
      <c r="E362" s="27">
        <f>IF(C362&lt;=0,0,MIN(C362+D362,Calculator!$C$14))</f>
        <v/>
      </c>
      <c r="F362" s="29">
        <f>MAX(0,C362+D362-E362)</f>
        <v/>
      </c>
      <c r="G362" s="27">
        <f>J361</f>
        <v/>
      </c>
      <c r="H362" s="28">
        <f>IF(G362&gt;0,G362*Calculator!$C$8/100/12,0)</f>
        <v/>
      </c>
      <c r="I362" s="27">
        <f>IF(G362&lt;=0,0,MIN(G362+H362,Calculator!$C$15))</f>
        <v/>
      </c>
      <c r="J362" s="29">
        <f>MAX(0,G362+H362-I362)</f>
        <v/>
      </c>
    </row>
    <row r="363">
      <c r="A363" s="30" t="n">
        <v>356</v>
      </c>
      <c r="B363" s="31">
        <f>EDATE(Calculator!$C$12,355)</f>
        <v/>
      </c>
      <c r="C363" s="32">
        <f>F362</f>
        <v/>
      </c>
      <c r="D363" s="33">
        <f>IF(C363&gt;0,C363*Calculator!$C$8/100/12,0)</f>
        <v/>
      </c>
      <c r="E363" s="32">
        <f>IF(C363&lt;=0,0,MIN(C363+D363,Calculator!$C$14))</f>
        <v/>
      </c>
      <c r="F363" s="34">
        <f>MAX(0,C363+D363-E363)</f>
        <v/>
      </c>
      <c r="G363" s="32">
        <f>J362</f>
        <v/>
      </c>
      <c r="H363" s="33">
        <f>IF(G363&gt;0,G363*Calculator!$C$8/100/12,0)</f>
        <v/>
      </c>
      <c r="I363" s="32">
        <f>IF(G363&lt;=0,0,MIN(G363+H363,Calculator!$C$15))</f>
        <v/>
      </c>
      <c r="J363" s="34">
        <f>MAX(0,G363+H363-I363)</f>
        <v/>
      </c>
    </row>
    <row r="364">
      <c r="A364" s="25" t="n">
        <v>357</v>
      </c>
      <c r="B364" s="26">
        <f>EDATE(Calculator!$C$12,356)</f>
        <v/>
      </c>
      <c r="C364" s="27">
        <f>F363</f>
        <v/>
      </c>
      <c r="D364" s="28">
        <f>IF(C364&gt;0,C364*Calculator!$C$8/100/12,0)</f>
        <v/>
      </c>
      <c r="E364" s="27">
        <f>IF(C364&lt;=0,0,MIN(C364+D364,Calculator!$C$14))</f>
        <v/>
      </c>
      <c r="F364" s="29">
        <f>MAX(0,C364+D364-E364)</f>
        <v/>
      </c>
      <c r="G364" s="27">
        <f>J363</f>
        <v/>
      </c>
      <c r="H364" s="28">
        <f>IF(G364&gt;0,G364*Calculator!$C$8/100/12,0)</f>
        <v/>
      </c>
      <c r="I364" s="27">
        <f>IF(G364&lt;=0,0,MIN(G364+H364,Calculator!$C$15))</f>
        <v/>
      </c>
      <c r="J364" s="29">
        <f>MAX(0,G364+H364-I364)</f>
        <v/>
      </c>
    </row>
    <row r="365">
      <c r="A365" s="30" t="n">
        <v>358</v>
      </c>
      <c r="B365" s="31">
        <f>EDATE(Calculator!$C$12,357)</f>
        <v/>
      </c>
      <c r="C365" s="32">
        <f>F364</f>
        <v/>
      </c>
      <c r="D365" s="33">
        <f>IF(C365&gt;0,C365*Calculator!$C$8/100/12,0)</f>
        <v/>
      </c>
      <c r="E365" s="32">
        <f>IF(C365&lt;=0,0,MIN(C365+D365,Calculator!$C$14))</f>
        <v/>
      </c>
      <c r="F365" s="34">
        <f>MAX(0,C365+D365-E365)</f>
        <v/>
      </c>
      <c r="G365" s="32">
        <f>J364</f>
        <v/>
      </c>
      <c r="H365" s="33">
        <f>IF(G365&gt;0,G365*Calculator!$C$8/100/12,0)</f>
        <v/>
      </c>
      <c r="I365" s="32">
        <f>IF(G365&lt;=0,0,MIN(G365+H365,Calculator!$C$15))</f>
        <v/>
      </c>
      <c r="J365" s="34">
        <f>MAX(0,G365+H365-I365)</f>
        <v/>
      </c>
    </row>
    <row r="366">
      <c r="A366" s="25" t="n">
        <v>359</v>
      </c>
      <c r="B366" s="26">
        <f>EDATE(Calculator!$C$12,358)</f>
        <v/>
      </c>
      <c r="C366" s="27">
        <f>F365</f>
        <v/>
      </c>
      <c r="D366" s="28">
        <f>IF(C366&gt;0,C366*Calculator!$C$8/100/12,0)</f>
        <v/>
      </c>
      <c r="E366" s="27">
        <f>IF(C366&lt;=0,0,MIN(C366+D366,Calculator!$C$14))</f>
        <v/>
      </c>
      <c r="F366" s="29">
        <f>MAX(0,C366+D366-E366)</f>
        <v/>
      </c>
      <c r="G366" s="27">
        <f>J365</f>
        <v/>
      </c>
      <c r="H366" s="28">
        <f>IF(G366&gt;0,G366*Calculator!$C$8/100/12,0)</f>
        <v/>
      </c>
      <c r="I366" s="27">
        <f>IF(G366&lt;=0,0,MIN(G366+H366,Calculator!$C$15))</f>
        <v/>
      </c>
      <c r="J366" s="29">
        <f>MAX(0,G366+H366-I366)</f>
        <v/>
      </c>
    </row>
    <row r="367">
      <c r="A367" s="30" t="n">
        <v>360</v>
      </c>
      <c r="B367" s="31">
        <f>EDATE(Calculator!$C$12,359)</f>
        <v/>
      </c>
      <c r="C367" s="32">
        <f>F366</f>
        <v/>
      </c>
      <c r="D367" s="33">
        <f>IF(C367&gt;0,C367*Calculator!$C$8/100/12,0)</f>
        <v/>
      </c>
      <c r="E367" s="32">
        <f>IF(C367&lt;=0,0,MIN(C367+D367,Calculator!$C$14))</f>
        <v/>
      </c>
      <c r="F367" s="34">
        <f>MAX(0,C367+D367-E367)</f>
        <v/>
      </c>
      <c r="G367" s="32">
        <f>J366</f>
        <v/>
      </c>
      <c r="H367" s="33">
        <f>IF(G367&gt;0,G367*Calculator!$C$8/100/12,0)</f>
        <v/>
      </c>
      <c r="I367" s="32">
        <f>IF(G367&lt;=0,0,MIN(G367+H367,Calculator!$C$15))</f>
        <v/>
      </c>
      <c r="J367" s="34">
        <f>MAX(0,G367+H367-I367)</f>
        <v/>
      </c>
    </row>
    <row r="368">
      <c r="A368" s="25" t="n">
        <v>361</v>
      </c>
      <c r="B368" s="26">
        <f>EDATE(Calculator!$C$12,360)</f>
        <v/>
      </c>
      <c r="C368" s="27">
        <f>F367</f>
        <v/>
      </c>
      <c r="D368" s="28">
        <f>IF(C368&gt;0,C368*Calculator!$C$8/100/12,0)</f>
        <v/>
      </c>
      <c r="E368" s="27">
        <f>IF(C368&lt;=0,0,MIN(C368+D368,Calculator!$C$14))</f>
        <v/>
      </c>
      <c r="F368" s="29">
        <f>MAX(0,C368+D368-E368)</f>
        <v/>
      </c>
      <c r="G368" s="27">
        <f>J367</f>
        <v/>
      </c>
      <c r="H368" s="28">
        <f>IF(G368&gt;0,G368*Calculator!$C$8/100/12,0)</f>
        <v/>
      </c>
      <c r="I368" s="27">
        <f>IF(G368&lt;=0,0,MIN(G368+H368,Calculator!$C$15))</f>
        <v/>
      </c>
      <c r="J368" s="29">
        <f>MAX(0,G368+H368-I368)</f>
        <v/>
      </c>
    </row>
    <row r="369">
      <c r="A369" s="30" t="n">
        <v>362</v>
      </c>
      <c r="B369" s="31">
        <f>EDATE(Calculator!$C$12,361)</f>
        <v/>
      </c>
      <c r="C369" s="32">
        <f>F368</f>
        <v/>
      </c>
      <c r="D369" s="33">
        <f>IF(C369&gt;0,C369*Calculator!$C$8/100/12,0)</f>
        <v/>
      </c>
      <c r="E369" s="32">
        <f>IF(C369&lt;=0,0,MIN(C369+D369,Calculator!$C$14))</f>
        <v/>
      </c>
      <c r="F369" s="34">
        <f>MAX(0,C369+D369-E369)</f>
        <v/>
      </c>
      <c r="G369" s="32">
        <f>J368</f>
        <v/>
      </c>
      <c r="H369" s="33">
        <f>IF(G369&gt;0,G369*Calculator!$C$8/100/12,0)</f>
        <v/>
      </c>
      <c r="I369" s="32">
        <f>IF(G369&lt;=0,0,MIN(G369+H369,Calculator!$C$15))</f>
        <v/>
      </c>
      <c r="J369" s="34">
        <f>MAX(0,G369+H369-I369)</f>
        <v/>
      </c>
    </row>
    <row r="370">
      <c r="A370" s="25" t="n">
        <v>363</v>
      </c>
      <c r="B370" s="26">
        <f>EDATE(Calculator!$C$12,362)</f>
        <v/>
      </c>
      <c r="C370" s="27">
        <f>F369</f>
        <v/>
      </c>
      <c r="D370" s="28">
        <f>IF(C370&gt;0,C370*Calculator!$C$8/100/12,0)</f>
        <v/>
      </c>
      <c r="E370" s="27">
        <f>IF(C370&lt;=0,0,MIN(C370+D370,Calculator!$C$14))</f>
        <v/>
      </c>
      <c r="F370" s="29">
        <f>MAX(0,C370+D370-E370)</f>
        <v/>
      </c>
      <c r="G370" s="27">
        <f>J369</f>
        <v/>
      </c>
      <c r="H370" s="28">
        <f>IF(G370&gt;0,G370*Calculator!$C$8/100/12,0)</f>
        <v/>
      </c>
      <c r="I370" s="27">
        <f>IF(G370&lt;=0,0,MIN(G370+H370,Calculator!$C$15))</f>
        <v/>
      </c>
      <c r="J370" s="29">
        <f>MAX(0,G370+H370-I370)</f>
        <v/>
      </c>
    </row>
    <row r="371">
      <c r="A371" s="30" t="n">
        <v>364</v>
      </c>
      <c r="B371" s="31">
        <f>EDATE(Calculator!$C$12,363)</f>
        <v/>
      </c>
      <c r="C371" s="32">
        <f>F370</f>
        <v/>
      </c>
      <c r="D371" s="33">
        <f>IF(C371&gt;0,C371*Calculator!$C$8/100/12,0)</f>
        <v/>
      </c>
      <c r="E371" s="32">
        <f>IF(C371&lt;=0,0,MIN(C371+D371,Calculator!$C$14))</f>
        <v/>
      </c>
      <c r="F371" s="34">
        <f>MAX(0,C371+D371-E371)</f>
        <v/>
      </c>
      <c r="G371" s="32">
        <f>J370</f>
        <v/>
      </c>
      <c r="H371" s="33">
        <f>IF(G371&gt;0,G371*Calculator!$C$8/100/12,0)</f>
        <v/>
      </c>
      <c r="I371" s="32">
        <f>IF(G371&lt;=0,0,MIN(G371+H371,Calculator!$C$15))</f>
        <v/>
      </c>
      <c r="J371" s="34">
        <f>MAX(0,G371+H371-I371)</f>
        <v/>
      </c>
    </row>
    <row r="372">
      <c r="A372" s="25" t="n">
        <v>365</v>
      </c>
      <c r="B372" s="26">
        <f>EDATE(Calculator!$C$12,364)</f>
        <v/>
      </c>
      <c r="C372" s="27">
        <f>F371</f>
        <v/>
      </c>
      <c r="D372" s="28">
        <f>IF(C372&gt;0,C372*Calculator!$C$8/100/12,0)</f>
        <v/>
      </c>
      <c r="E372" s="27">
        <f>IF(C372&lt;=0,0,MIN(C372+D372,Calculator!$C$14))</f>
        <v/>
      </c>
      <c r="F372" s="29">
        <f>MAX(0,C372+D372-E372)</f>
        <v/>
      </c>
      <c r="G372" s="27">
        <f>J371</f>
        <v/>
      </c>
      <c r="H372" s="28">
        <f>IF(G372&gt;0,G372*Calculator!$C$8/100/12,0)</f>
        <v/>
      </c>
      <c r="I372" s="27">
        <f>IF(G372&lt;=0,0,MIN(G372+H372,Calculator!$C$15))</f>
        <v/>
      </c>
      <c r="J372" s="29">
        <f>MAX(0,G372+H372-I372)</f>
        <v/>
      </c>
    </row>
    <row r="373">
      <c r="A373" s="30" t="n">
        <v>366</v>
      </c>
      <c r="B373" s="31">
        <f>EDATE(Calculator!$C$12,365)</f>
        <v/>
      </c>
      <c r="C373" s="32">
        <f>F372</f>
        <v/>
      </c>
      <c r="D373" s="33">
        <f>IF(C373&gt;0,C373*Calculator!$C$8/100/12,0)</f>
        <v/>
      </c>
      <c r="E373" s="32">
        <f>IF(C373&lt;=0,0,MIN(C373+D373,Calculator!$C$14))</f>
        <v/>
      </c>
      <c r="F373" s="34">
        <f>MAX(0,C373+D373-E373)</f>
        <v/>
      </c>
      <c r="G373" s="32">
        <f>J372</f>
        <v/>
      </c>
      <c r="H373" s="33">
        <f>IF(G373&gt;0,G373*Calculator!$C$8/100/12,0)</f>
        <v/>
      </c>
      <c r="I373" s="32">
        <f>IF(G373&lt;=0,0,MIN(G373+H373,Calculator!$C$15))</f>
        <v/>
      </c>
      <c r="J373" s="34">
        <f>MAX(0,G373+H373-I373)</f>
        <v/>
      </c>
    </row>
    <row r="374">
      <c r="A374" s="25" t="n">
        <v>367</v>
      </c>
      <c r="B374" s="26">
        <f>EDATE(Calculator!$C$12,366)</f>
        <v/>
      </c>
      <c r="C374" s="27">
        <f>F373</f>
        <v/>
      </c>
      <c r="D374" s="28">
        <f>IF(C374&gt;0,C374*Calculator!$C$8/100/12,0)</f>
        <v/>
      </c>
      <c r="E374" s="27">
        <f>IF(C374&lt;=0,0,MIN(C374+D374,Calculator!$C$14))</f>
        <v/>
      </c>
      <c r="F374" s="29">
        <f>MAX(0,C374+D374-E374)</f>
        <v/>
      </c>
      <c r="G374" s="27">
        <f>J373</f>
        <v/>
      </c>
      <c r="H374" s="28">
        <f>IF(G374&gt;0,G374*Calculator!$C$8/100/12,0)</f>
        <v/>
      </c>
      <c r="I374" s="27">
        <f>IF(G374&lt;=0,0,MIN(G374+H374,Calculator!$C$15))</f>
        <v/>
      </c>
      <c r="J374" s="29">
        <f>MAX(0,G374+H374-I374)</f>
        <v/>
      </c>
    </row>
    <row r="375">
      <c r="A375" s="30" t="n">
        <v>368</v>
      </c>
      <c r="B375" s="31">
        <f>EDATE(Calculator!$C$12,367)</f>
        <v/>
      </c>
      <c r="C375" s="32">
        <f>F374</f>
        <v/>
      </c>
      <c r="D375" s="33">
        <f>IF(C375&gt;0,C375*Calculator!$C$8/100/12,0)</f>
        <v/>
      </c>
      <c r="E375" s="32">
        <f>IF(C375&lt;=0,0,MIN(C375+D375,Calculator!$C$14))</f>
        <v/>
      </c>
      <c r="F375" s="34">
        <f>MAX(0,C375+D375-E375)</f>
        <v/>
      </c>
      <c r="G375" s="32">
        <f>J374</f>
        <v/>
      </c>
      <c r="H375" s="33">
        <f>IF(G375&gt;0,G375*Calculator!$C$8/100/12,0)</f>
        <v/>
      </c>
      <c r="I375" s="32">
        <f>IF(G375&lt;=0,0,MIN(G375+H375,Calculator!$C$15))</f>
        <v/>
      </c>
      <c r="J375" s="34">
        <f>MAX(0,G375+H375-I375)</f>
        <v/>
      </c>
    </row>
    <row r="376">
      <c r="A376" s="25" t="n">
        <v>369</v>
      </c>
      <c r="B376" s="26">
        <f>EDATE(Calculator!$C$12,368)</f>
        <v/>
      </c>
      <c r="C376" s="27">
        <f>F375</f>
        <v/>
      </c>
      <c r="D376" s="28">
        <f>IF(C376&gt;0,C376*Calculator!$C$8/100/12,0)</f>
        <v/>
      </c>
      <c r="E376" s="27">
        <f>IF(C376&lt;=0,0,MIN(C376+D376,Calculator!$C$14))</f>
        <v/>
      </c>
      <c r="F376" s="29">
        <f>MAX(0,C376+D376-E376)</f>
        <v/>
      </c>
      <c r="G376" s="27">
        <f>J375</f>
        <v/>
      </c>
      <c r="H376" s="28">
        <f>IF(G376&gt;0,G376*Calculator!$C$8/100/12,0)</f>
        <v/>
      </c>
      <c r="I376" s="27">
        <f>IF(G376&lt;=0,0,MIN(G376+H376,Calculator!$C$15))</f>
        <v/>
      </c>
      <c r="J376" s="29">
        <f>MAX(0,G376+H376-I376)</f>
        <v/>
      </c>
    </row>
    <row r="377">
      <c r="A377" s="30" t="n">
        <v>370</v>
      </c>
      <c r="B377" s="31">
        <f>EDATE(Calculator!$C$12,369)</f>
        <v/>
      </c>
      <c r="C377" s="32">
        <f>F376</f>
        <v/>
      </c>
      <c r="D377" s="33">
        <f>IF(C377&gt;0,C377*Calculator!$C$8/100/12,0)</f>
        <v/>
      </c>
      <c r="E377" s="32">
        <f>IF(C377&lt;=0,0,MIN(C377+D377,Calculator!$C$14))</f>
        <v/>
      </c>
      <c r="F377" s="34">
        <f>MAX(0,C377+D377-E377)</f>
        <v/>
      </c>
      <c r="G377" s="32">
        <f>J376</f>
        <v/>
      </c>
      <c r="H377" s="33">
        <f>IF(G377&gt;0,G377*Calculator!$C$8/100/12,0)</f>
        <v/>
      </c>
      <c r="I377" s="32">
        <f>IF(G377&lt;=0,0,MIN(G377+H377,Calculator!$C$15))</f>
        <v/>
      </c>
      <c r="J377" s="34">
        <f>MAX(0,G377+H377-I377)</f>
        <v/>
      </c>
    </row>
    <row r="378">
      <c r="A378" s="25" t="n">
        <v>371</v>
      </c>
      <c r="B378" s="26">
        <f>EDATE(Calculator!$C$12,370)</f>
        <v/>
      </c>
      <c r="C378" s="27">
        <f>F377</f>
        <v/>
      </c>
      <c r="D378" s="28">
        <f>IF(C378&gt;0,C378*Calculator!$C$8/100/12,0)</f>
        <v/>
      </c>
      <c r="E378" s="27">
        <f>IF(C378&lt;=0,0,MIN(C378+D378,Calculator!$C$14))</f>
        <v/>
      </c>
      <c r="F378" s="29">
        <f>MAX(0,C378+D378-E378)</f>
        <v/>
      </c>
      <c r="G378" s="27">
        <f>J377</f>
        <v/>
      </c>
      <c r="H378" s="28">
        <f>IF(G378&gt;0,G378*Calculator!$C$8/100/12,0)</f>
        <v/>
      </c>
      <c r="I378" s="27">
        <f>IF(G378&lt;=0,0,MIN(G378+H378,Calculator!$C$15))</f>
        <v/>
      </c>
      <c r="J378" s="29">
        <f>MAX(0,G378+H378-I378)</f>
        <v/>
      </c>
    </row>
    <row r="379">
      <c r="A379" s="30" t="n">
        <v>372</v>
      </c>
      <c r="B379" s="31">
        <f>EDATE(Calculator!$C$12,371)</f>
        <v/>
      </c>
      <c r="C379" s="32">
        <f>F378</f>
        <v/>
      </c>
      <c r="D379" s="33">
        <f>IF(C379&gt;0,C379*Calculator!$C$8/100/12,0)</f>
        <v/>
      </c>
      <c r="E379" s="32">
        <f>IF(C379&lt;=0,0,MIN(C379+D379,Calculator!$C$14))</f>
        <v/>
      </c>
      <c r="F379" s="34">
        <f>MAX(0,C379+D379-E379)</f>
        <v/>
      </c>
      <c r="G379" s="32">
        <f>J378</f>
        <v/>
      </c>
      <c r="H379" s="33">
        <f>IF(G379&gt;0,G379*Calculator!$C$8/100/12,0)</f>
        <v/>
      </c>
      <c r="I379" s="32">
        <f>IF(G379&lt;=0,0,MIN(G379+H379,Calculator!$C$15))</f>
        <v/>
      </c>
      <c r="J379" s="34">
        <f>MAX(0,G379+H379-I379)</f>
        <v/>
      </c>
    </row>
    <row r="380">
      <c r="A380" s="25" t="n">
        <v>373</v>
      </c>
      <c r="B380" s="26">
        <f>EDATE(Calculator!$C$12,372)</f>
        <v/>
      </c>
      <c r="C380" s="27">
        <f>F379</f>
        <v/>
      </c>
      <c r="D380" s="28">
        <f>IF(C380&gt;0,C380*Calculator!$C$8/100/12,0)</f>
        <v/>
      </c>
      <c r="E380" s="27">
        <f>IF(C380&lt;=0,0,MIN(C380+D380,Calculator!$C$14))</f>
        <v/>
      </c>
      <c r="F380" s="29">
        <f>MAX(0,C380+D380-E380)</f>
        <v/>
      </c>
      <c r="G380" s="27">
        <f>J379</f>
        <v/>
      </c>
      <c r="H380" s="28">
        <f>IF(G380&gt;0,G380*Calculator!$C$8/100/12,0)</f>
        <v/>
      </c>
      <c r="I380" s="27">
        <f>IF(G380&lt;=0,0,MIN(G380+H380,Calculator!$C$15))</f>
        <v/>
      </c>
      <c r="J380" s="29">
        <f>MAX(0,G380+H380-I380)</f>
        <v/>
      </c>
    </row>
    <row r="381">
      <c r="A381" s="30" t="n">
        <v>374</v>
      </c>
      <c r="B381" s="31">
        <f>EDATE(Calculator!$C$12,373)</f>
        <v/>
      </c>
      <c r="C381" s="32">
        <f>F380</f>
        <v/>
      </c>
      <c r="D381" s="33">
        <f>IF(C381&gt;0,C381*Calculator!$C$8/100/12,0)</f>
        <v/>
      </c>
      <c r="E381" s="32">
        <f>IF(C381&lt;=0,0,MIN(C381+D381,Calculator!$C$14))</f>
        <v/>
      </c>
      <c r="F381" s="34">
        <f>MAX(0,C381+D381-E381)</f>
        <v/>
      </c>
      <c r="G381" s="32">
        <f>J380</f>
        <v/>
      </c>
      <c r="H381" s="33">
        <f>IF(G381&gt;0,G381*Calculator!$C$8/100/12,0)</f>
        <v/>
      </c>
      <c r="I381" s="32">
        <f>IF(G381&lt;=0,0,MIN(G381+H381,Calculator!$C$15))</f>
        <v/>
      </c>
      <c r="J381" s="34">
        <f>MAX(0,G381+H381-I381)</f>
        <v/>
      </c>
    </row>
    <row r="382">
      <c r="A382" s="25" t="n">
        <v>375</v>
      </c>
      <c r="B382" s="26">
        <f>EDATE(Calculator!$C$12,374)</f>
        <v/>
      </c>
      <c r="C382" s="27">
        <f>F381</f>
        <v/>
      </c>
      <c r="D382" s="28">
        <f>IF(C382&gt;0,C382*Calculator!$C$8/100/12,0)</f>
        <v/>
      </c>
      <c r="E382" s="27">
        <f>IF(C382&lt;=0,0,MIN(C382+D382,Calculator!$C$14))</f>
        <v/>
      </c>
      <c r="F382" s="29">
        <f>MAX(0,C382+D382-E382)</f>
        <v/>
      </c>
      <c r="G382" s="27">
        <f>J381</f>
        <v/>
      </c>
      <c r="H382" s="28">
        <f>IF(G382&gt;0,G382*Calculator!$C$8/100/12,0)</f>
        <v/>
      </c>
      <c r="I382" s="27">
        <f>IF(G382&lt;=0,0,MIN(G382+H382,Calculator!$C$15))</f>
        <v/>
      </c>
      <c r="J382" s="29">
        <f>MAX(0,G382+H382-I382)</f>
        <v/>
      </c>
    </row>
    <row r="383">
      <c r="A383" s="30" t="n">
        <v>376</v>
      </c>
      <c r="B383" s="31">
        <f>EDATE(Calculator!$C$12,375)</f>
        <v/>
      </c>
      <c r="C383" s="32">
        <f>F382</f>
        <v/>
      </c>
      <c r="D383" s="33">
        <f>IF(C383&gt;0,C383*Calculator!$C$8/100/12,0)</f>
        <v/>
      </c>
      <c r="E383" s="32">
        <f>IF(C383&lt;=0,0,MIN(C383+D383,Calculator!$C$14))</f>
        <v/>
      </c>
      <c r="F383" s="34">
        <f>MAX(0,C383+D383-E383)</f>
        <v/>
      </c>
      <c r="G383" s="32">
        <f>J382</f>
        <v/>
      </c>
      <c r="H383" s="33">
        <f>IF(G383&gt;0,G383*Calculator!$C$8/100/12,0)</f>
        <v/>
      </c>
      <c r="I383" s="32">
        <f>IF(G383&lt;=0,0,MIN(G383+H383,Calculator!$C$15))</f>
        <v/>
      </c>
      <c r="J383" s="34">
        <f>MAX(0,G383+H383-I383)</f>
        <v/>
      </c>
    </row>
    <row r="384">
      <c r="A384" s="25" t="n">
        <v>377</v>
      </c>
      <c r="B384" s="26">
        <f>EDATE(Calculator!$C$12,376)</f>
        <v/>
      </c>
      <c r="C384" s="27">
        <f>F383</f>
        <v/>
      </c>
      <c r="D384" s="28">
        <f>IF(C384&gt;0,C384*Calculator!$C$8/100/12,0)</f>
        <v/>
      </c>
      <c r="E384" s="27">
        <f>IF(C384&lt;=0,0,MIN(C384+D384,Calculator!$C$14))</f>
        <v/>
      </c>
      <c r="F384" s="29">
        <f>MAX(0,C384+D384-E384)</f>
        <v/>
      </c>
      <c r="G384" s="27">
        <f>J383</f>
        <v/>
      </c>
      <c r="H384" s="28">
        <f>IF(G384&gt;0,G384*Calculator!$C$8/100/12,0)</f>
        <v/>
      </c>
      <c r="I384" s="27">
        <f>IF(G384&lt;=0,0,MIN(G384+H384,Calculator!$C$15))</f>
        <v/>
      </c>
      <c r="J384" s="29">
        <f>MAX(0,G384+H384-I384)</f>
        <v/>
      </c>
    </row>
    <row r="385">
      <c r="A385" s="30" t="n">
        <v>378</v>
      </c>
      <c r="B385" s="31">
        <f>EDATE(Calculator!$C$12,377)</f>
        <v/>
      </c>
      <c r="C385" s="32">
        <f>F384</f>
        <v/>
      </c>
      <c r="D385" s="33">
        <f>IF(C385&gt;0,C385*Calculator!$C$8/100/12,0)</f>
        <v/>
      </c>
      <c r="E385" s="32">
        <f>IF(C385&lt;=0,0,MIN(C385+D385,Calculator!$C$14))</f>
        <v/>
      </c>
      <c r="F385" s="34">
        <f>MAX(0,C385+D385-E385)</f>
        <v/>
      </c>
      <c r="G385" s="32">
        <f>J384</f>
        <v/>
      </c>
      <c r="H385" s="33">
        <f>IF(G385&gt;0,G385*Calculator!$C$8/100/12,0)</f>
        <v/>
      </c>
      <c r="I385" s="32">
        <f>IF(G385&lt;=0,0,MIN(G385+H385,Calculator!$C$15))</f>
        <v/>
      </c>
      <c r="J385" s="34">
        <f>MAX(0,G385+H385-I385)</f>
        <v/>
      </c>
    </row>
    <row r="386">
      <c r="A386" s="25" t="n">
        <v>379</v>
      </c>
      <c r="B386" s="26">
        <f>EDATE(Calculator!$C$12,378)</f>
        <v/>
      </c>
      <c r="C386" s="27">
        <f>F385</f>
        <v/>
      </c>
      <c r="D386" s="28">
        <f>IF(C386&gt;0,C386*Calculator!$C$8/100/12,0)</f>
        <v/>
      </c>
      <c r="E386" s="27">
        <f>IF(C386&lt;=0,0,MIN(C386+D386,Calculator!$C$14))</f>
        <v/>
      </c>
      <c r="F386" s="29">
        <f>MAX(0,C386+D386-E386)</f>
        <v/>
      </c>
      <c r="G386" s="27">
        <f>J385</f>
        <v/>
      </c>
      <c r="H386" s="28">
        <f>IF(G386&gt;0,G386*Calculator!$C$8/100/12,0)</f>
        <v/>
      </c>
      <c r="I386" s="27">
        <f>IF(G386&lt;=0,0,MIN(G386+H386,Calculator!$C$15))</f>
        <v/>
      </c>
      <c r="J386" s="29">
        <f>MAX(0,G386+H386-I386)</f>
        <v/>
      </c>
    </row>
    <row r="387">
      <c r="A387" s="30" t="n">
        <v>380</v>
      </c>
      <c r="B387" s="31">
        <f>EDATE(Calculator!$C$12,379)</f>
        <v/>
      </c>
      <c r="C387" s="32">
        <f>F386</f>
        <v/>
      </c>
      <c r="D387" s="33">
        <f>IF(C387&gt;0,C387*Calculator!$C$8/100/12,0)</f>
        <v/>
      </c>
      <c r="E387" s="32">
        <f>IF(C387&lt;=0,0,MIN(C387+D387,Calculator!$C$14))</f>
        <v/>
      </c>
      <c r="F387" s="34">
        <f>MAX(0,C387+D387-E387)</f>
        <v/>
      </c>
      <c r="G387" s="32">
        <f>J386</f>
        <v/>
      </c>
      <c r="H387" s="33">
        <f>IF(G387&gt;0,G387*Calculator!$C$8/100/12,0)</f>
        <v/>
      </c>
      <c r="I387" s="32">
        <f>IF(G387&lt;=0,0,MIN(G387+H387,Calculator!$C$15))</f>
        <v/>
      </c>
      <c r="J387" s="34">
        <f>MAX(0,G387+H387-I387)</f>
        <v/>
      </c>
    </row>
    <row r="388">
      <c r="A388" s="25" t="n">
        <v>381</v>
      </c>
      <c r="B388" s="26">
        <f>EDATE(Calculator!$C$12,380)</f>
        <v/>
      </c>
      <c r="C388" s="27">
        <f>F387</f>
        <v/>
      </c>
      <c r="D388" s="28">
        <f>IF(C388&gt;0,C388*Calculator!$C$8/100/12,0)</f>
        <v/>
      </c>
      <c r="E388" s="27">
        <f>IF(C388&lt;=0,0,MIN(C388+D388,Calculator!$C$14))</f>
        <v/>
      </c>
      <c r="F388" s="29">
        <f>MAX(0,C388+D388-E388)</f>
        <v/>
      </c>
      <c r="G388" s="27">
        <f>J387</f>
        <v/>
      </c>
      <c r="H388" s="28">
        <f>IF(G388&gt;0,G388*Calculator!$C$8/100/12,0)</f>
        <v/>
      </c>
      <c r="I388" s="27">
        <f>IF(G388&lt;=0,0,MIN(G388+H388,Calculator!$C$15))</f>
        <v/>
      </c>
      <c r="J388" s="29">
        <f>MAX(0,G388+H388-I388)</f>
        <v/>
      </c>
    </row>
    <row r="389">
      <c r="A389" s="30" t="n">
        <v>382</v>
      </c>
      <c r="B389" s="31">
        <f>EDATE(Calculator!$C$12,381)</f>
        <v/>
      </c>
      <c r="C389" s="32">
        <f>F388</f>
        <v/>
      </c>
      <c r="D389" s="33">
        <f>IF(C389&gt;0,C389*Calculator!$C$8/100/12,0)</f>
        <v/>
      </c>
      <c r="E389" s="32">
        <f>IF(C389&lt;=0,0,MIN(C389+D389,Calculator!$C$14))</f>
        <v/>
      </c>
      <c r="F389" s="34">
        <f>MAX(0,C389+D389-E389)</f>
        <v/>
      </c>
      <c r="G389" s="32">
        <f>J388</f>
        <v/>
      </c>
      <c r="H389" s="33">
        <f>IF(G389&gt;0,G389*Calculator!$C$8/100/12,0)</f>
        <v/>
      </c>
      <c r="I389" s="32">
        <f>IF(G389&lt;=0,0,MIN(G389+H389,Calculator!$C$15))</f>
        <v/>
      </c>
      <c r="J389" s="34">
        <f>MAX(0,G389+H389-I389)</f>
        <v/>
      </c>
    </row>
    <row r="390">
      <c r="A390" s="25" t="n">
        <v>383</v>
      </c>
      <c r="B390" s="26">
        <f>EDATE(Calculator!$C$12,382)</f>
        <v/>
      </c>
      <c r="C390" s="27">
        <f>F389</f>
        <v/>
      </c>
      <c r="D390" s="28">
        <f>IF(C390&gt;0,C390*Calculator!$C$8/100/12,0)</f>
        <v/>
      </c>
      <c r="E390" s="27">
        <f>IF(C390&lt;=0,0,MIN(C390+D390,Calculator!$C$14))</f>
        <v/>
      </c>
      <c r="F390" s="29">
        <f>MAX(0,C390+D390-E390)</f>
        <v/>
      </c>
      <c r="G390" s="27">
        <f>J389</f>
        <v/>
      </c>
      <c r="H390" s="28">
        <f>IF(G390&gt;0,G390*Calculator!$C$8/100/12,0)</f>
        <v/>
      </c>
      <c r="I390" s="27">
        <f>IF(G390&lt;=0,0,MIN(G390+H390,Calculator!$C$15))</f>
        <v/>
      </c>
      <c r="J390" s="29">
        <f>MAX(0,G390+H390-I390)</f>
        <v/>
      </c>
    </row>
    <row r="391">
      <c r="A391" s="30" t="n">
        <v>384</v>
      </c>
      <c r="B391" s="31">
        <f>EDATE(Calculator!$C$12,383)</f>
        <v/>
      </c>
      <c r="C391" s="32">
        <f>F390</f>
        <v/>
      </c>
      <c r="D391" s="33">
        <f>IF(C391&gt;0,C391*Calculator!$C$8/100/12,0)</f>
        <v/>
      </c>
      <c r="E391" s="32">
        <f>IF(C391&lt;=0,0,MIN(C391+D391,Calculator!$C$14))</f>
        <v/>
      </c>
      <c r="F391" s="34">
        <f>MAX(0,C391+D391-E391)</f>
        <v/>
      </c>
      <c r="G391" s="32">
        <f>J390</f>
        <v/>
      </c>
      <c r="H391" s="33">
        <f>IF(G391&gt;0,G391*Calculator!$C$8/100/12,0)</f>
        <v/>
      </c>
      <c r="I391" s="32">
        <f>IF(G391&lt;=0,0,MIN(G391+H391,Calculator!$C$15))</f>
        <v/>
      </c>
      <c r="J391" s="34">
        <f>MAX(0,G391+H391-I391)</f>
        <v/>
      </c>
    </row>
    <row r="392">
      <c r="A392" s="25" t="n">
        <v>385</v>
      </c>
      <c r="B392" s="26">
        <f>EDATE(Calculator!$C$12,384)</f>
        <v/>
      </c>
      <c r="C392" s="27">
        <f>F391</f>
        <v/>
      </c>
      <c r="D392" s="28">
        <f>IF(C392&gt;0,C392*Calculator!$C$8/100/12,0)</f>
        <v/>
      </c>
      <c r="E392" s="27">
        <f>IF(C392&lt;=0,0,MIN(C392+D392,Calculator!$C$14))</f>
        <v/>
      </c>
      <c r="F392" s="29">
        <f>MAX(0,C392+D392-E392)</f>
        <v/>
      </c>
      <c r="G392" s="27">
        <f>J391</f>
        <v/>
      </c>
      <c r="H392" s="28">
        <f>IF(G392&gt;0,G392*Calculator!$C$8/100/12,0)</f>
        <v/>
      </c>
      <c r="I392" s="27">
        <f>IF(G392&lt;=0,0,MIN(G392+H392,Calculator!$C$15))</f>
        <v/>
      </c>
      <c r="J392" s="29">
        <f>MAX(0,G392+H392-I392)</f>
        <v/>
      </c>
    </row>
    <row r="393">
      <c r="A393" s="30" t="n">
        <v>386</v>
      </c>
      <c r="B393" s="31">
        <f>EDATE(Calculator!$C$12,385)</f>
        <v/>
      </c>
      <c r="C393" s="32">
        <f>F392</f>
        <v/>
      </c>
      <c r="D393" s="33">
        <f>IF(C393&gt;0,C393*Calculator!$C$8/100/12,0)</f>
        <v/>
      </c>
      <c r="E393" s="32">
        <f>IF(C393&lt;=0,0,MIN(C393+D393,Calculator!$C$14))</f>
        <v/>
      </c>
      <c r="F393" s="34">
        <f>MAX(0,C393+D393-E393)</f>
        <v/>
      </c>
      <c r="G393" s="32">
        <f>J392</f>
        <v/>
      </c>
      <c r="H393" s="33">
        <f>IF(G393&gt;0,G393*Calculator!$C$8/100/12,0)</f>
        <v/>
      </c>
      <c r="I393" s="32">
        <f>IF(G393&lt;=0,0,MIN(G393+H393,Calculator!$C$15))</f>
        <v/>
      </c>
      <c r="J393" s="34">
        <f>MAX(0,G393+H393-I393)</f>
        <v/>
      </c>
    </row>
    <row r="394">
      <c r="A394" s="25" t="n">
        <v>387</v>
      </c>
      <c r="B394" s="26">
        <f>EDATE(Calculator!$C$12,386)</f>
        <v/>
      </c>
      <c r="C394" s="27">
        <f>F393</f>
        <v/>
      </c>
      <c r="D394" s="28">
        <f>IF(C394&gt;0,C394*Calculator!$C$8/100/12,0)</f>
        <v/>
      </c>
      <c r="E394" s="27">
        <f>IF(C394&lt;=0,0,MIN(C394+D394,Calculator!$C$14))</f>
        <v/>
      </c>
      <c r="F394" s="29">
        <f>MAX(0,C394+D394-E394)</f>
        <v/>
      </c>
      <c r="G394" s="27">
        <f>J393</f>
        <v/>
      </c>
      <c r="H394" s="28">
        <f>IF(G394&gt;0,G394*Calculator!$C$8/100/12,0)</f>
        <v/>
      </c>
      <c r="I394" s="27">
        <f>IF(G394&lt;=0,0,MIN(G394+H394,Calculator!$C$15))</f>
        <v/>
      </c>
      <c r="J394" s="29">
        <f>MAX(0,G394+H394-I394)</f>
        <v/>
      </c>
    </row>
    <row r="395">
      <c r="A395" s="30" t="n">
        <v>388</v>
      </c>
      <c r="B395" s="31">
        <f>EDATE(Calculator!$C$12,387)</f>
        <v/>
      </c>
      <c r="C395" s="32">
        <f>F394</f>
        <v/>
      </c>
      <c r="D395" s="33">
        <f>IF(C395&gt;0,C395*Calculator!$C$8/100/12,0)</f>
        <v/>
      </c>
      <c r="E395" s="32">
        <f>IF(C395&lt;=0,0,MIN(C395+D395,Calculator!$C$14))</f>
        <v/>
      </c>
      <c r="F395" s="34">
        <f>MAX(0,C395+D395-E395)</f>
        <v/>
      </c>
      <c r="G395" s="32">
        <f>J394</f>
        <v/>
      </c>
      <c r="H395" s="33">
        <f>IF(G395&gt;0,G395*Calculator!$C$8/100/12,0)</f>
        <v/>
      </c>
      <c r="I395" s="32">
        <f>IF(G395&lt;=0,0,MIN(G395+H395,Calculator!$C$15))</f>
        <v/>
      </c>
      <c r="J395" s="34">
        <f>MAX(0,G395+H395-I395)</f>
        <v/>
      </c>
    </row>
    <row r="396">
      <c r="A396" s="25" t="n">
        <v>389</v>
      </c>
      <c r="B396" s="26">
        <f>EDATE(Calculator!$C$12,388)</f>
        <v/>
      </c>
      <c r="C396" s="27">
        <f>F395</f>
        <v/>
      </c>
      <c r="D396" s="28">
        <f>IF(C396&gt;0,C396*Calculator!$C$8/100/12,0)</f>
        <v/>
      </c>
      <c r="E396" s="27">
        <f>IF(C396&lt;=0,0,MIN(C396+D396,Calculator!$C$14))</f>
        <v/>
      </c>
      <c r="F396" s="29">
        <f>MAX(0,C396+D396-E396)</f>
        <v/>
      </c>
      <c r="G396" s="27">
        <f>J395</f>
        <v/>
      </c>
      <c r="H396" s="28">
        <f>IF(G396&gt;0,G396*Calculator!$C$8/100/12,0)</f>
        <v/>
      </c>
      <c r="I396" s="27">
        <f>IF(G396&lt;=0,0,MIN(G396+H396,Calculator!$C$15))</f>
        <v/>
      </c>
      <c r="J396" s="29">
        <f>MAX(0,G396+H396-I396)</f>
        <v/>
      </c>
    </row>
    <row r="397">
      <c r="A397" s="30" t="n">
        <v>390</v>
      </c>
      <c r="B397" s="31">
        <f>EDATE(Calculator!$C$12,389)</f>
        <v/>
      </c>
      <c r="C397" s="32">
        <f>F396</f>
        <v/>
      </c>
      <c r="D397" s="33">
        <f>IF(C397&gt;0,C397*Calculator!$C$8/100/12,0)</f>
        <v/>
      </c>
      <c r="E397" s="32">
        <f>IF(C397&lt;=0,0,MIN(C397+D397,Calculator!$C$14))</f>
        <v/>
      </c>
      <c r="F397" s="34">
        <f>MAX(0,C397+D397-E397)</f>
        <v/>
      </c>
      <c r="G397" s="32">
        <f>J396</f>
        <v/>
      </c>
      <c r="H397" s="33">
        <f>IF(G397&gt;0,G397*Calculator!$C$8/100/12,0)</f>
        <v/>
      </c>
      <c r="I397" s="32">
        <f>IF(G397&lt;=0,0,MIN(G397+H397,Calculator!$C$15))</f>
        <v/>
      </c>
      <c r="J397" s="34">
        <f>MAX(0,G397+H397-I397)</f>
        <v/>
      </c>
    </row>
    <row r="398">
      <c r="A398" s="25" t="n">
        <v>391</v>
      </c>
      <c r="B398" s="26">
        <f>EDATE(Calculator!$C$12,390)</f>
        <v/>
      </c>
      <c r="C398" s="27">
        <f>F397</f>
        <v/>
      </c>
      <c r="D398" s="28">
        <f>IF(C398&gt;0,C398*Calculator!$C$8/100/12,0)</f>
        <v/>
      </c>
      <c r="E398" s="27">
        <f>IF(C398&lt;=0,0,MIN(C398+D398,Calculator!$C$14))</f>
        <v/>
      </c>
      <c r="F398" s="29">
        <f>MAX(0,C398+D398-E398)</f>
        <v/>
      </c>
      <c r="G398" s="27">
        <f>J397</f>
        <v/>
      </c>
      <c r="H398" s="28">
        <f>IF(G398&gt;0,G398*Calculator!$C$8/100/12,0)</f>
        <v/>
      </c>
      <c r="I398" s="27">
        <f>IF(G398&lt;=0,0,MIN(G398+H398,Calculator!$C$15))</f>
        <v/>
      </c>
      <c r="J398" s="29">
        <f>MAX(0,G398+H398-I398)</f>
        <v/>
      </c>
    </row>
    <row r="399">
      <c r="A399" s="30" t="n">
        <v>392</v>
      </c>
      <c r="B399" s="31">
        <f>EDATE(Calculator!$C$12,391)</f>
        <v/>
      </c>
      <c r="C399" s="32">
        <f>F398</f>
        <v/>
      </c>
      <c r="D399" s="33">
        <f>IF(C399&gt;0,C399*Calculator!$C$8/100/12,0)</f>
        <v/>
      </c>
      <c r="E399" s="32">
        <f>IF(C399&lt;=0,0,MIN(C399+D399,Calculator!$C$14))</f>
        <v/>
      </c>
      <c r="F399" s="34">
        <f>MAX(0,C399+D399-E399)</f>
        <v/>
      </c>
      <c r="G399" s="32">
        <f>J398</f>
        <v/>
      </c>
      <c r="H399" s="33">
        <f>IF(G399&gt;0,G399*Calculator!$C$8/100/12,0)</f>
        <v/>
      </c>
      <c r="I399" s="32">
        <f>IF(G399&lt;=0,0,MIN(G399+H399,Calculator!$C$15))</f>
        <v/>
      </c>
      <c r="J399" s="34">
        <f>MAX(0,G399+H399-I399)</f>
        <v/>
      </c>
    </row>
    <row r="400">
      <c r="A400" s="25" t="n">
        <v>393</v>
      </c>
      <c r="B400" s="26">
        <f>EDATE(Calculator!$C$12,392)</f>
        <v/>
      </c>
      <c r="C400" s="27">
        <f>F399</f>
        <v/>
      </c>
      <c r="D400" s="28">
        <f>IF(C400&gt;0,C400*Calculator!$C$8/100/12,0)</f>
        <v/>
      </c>
      <c r="E400" s="27">
        <f>IF(C400&lt;=0,0,MIN(C400+D400,Calculator!$C$14))</f>
        <v/>
      </c>
      <c r="F400" s="29">
        <f>MAX(0,C400+D400-E400)</f>
        <v/>
      </c>
      <c r="G400" s="27">
        <f>J399</f>
        <v/>
      </c>
      <c r="H400" s="28">
        <f>IF(G400&gt;0,G400*Calculator!$C$8/100/12,0)</f>
        <v/>
      </c>
      <c r="I400" s="27">
        <f>IF(G400&lt;=0,0,MIN(G400+H400,Calculator!$C$15))</f>
        <v/>
      </c>
      <c r="J400" s="29">
        <f>MAX(0,G400+H400-I400)</f>
        <v/>
      </c>
    </row>
    <row r="401">
      <c r="A401" s="30" t="n">
        <v>394</v>
      </c>
      <c r="B401" s="31">
        <f>EDATE(Calculator!$C$12,393)</f>
        <v/>
      </c>
      <c r="C401" s="32">
        <f>F400</f>
        <v/>
      </c>
      <c r="D401" s="33">
        <f>IF(C401&gt;0,C401*Calculator!$C$8/100/12,0)</f>
        <v/>
      </c>
      <c r="E401" s="32">
        <f>IF(C401&lt;=0,0,MIN(C401+D401,Calculator!$C$14))</f>
        <v/>
      </c>
      <c r="F401" s="34">
        <f>MAX(0,C401+D401-E401)</f>
        <v/>
      </c>
      <c r="G401" s="32">
        <f>J400</f>
        <v/>
      </c>
      <c r="H401" s="33">
        <f>IF(G401&gt;0,G401*Calculator!$C$8/100/12,0)</f>
        <v/>
      </c>
      <c r="I401" s="32">
        <f>IF(G401&lt;=0,0,MIN(G401+H401,Calculator!$C$15))</f>
        <v/>
      </c>
      <c r="J401" s="34">
        <f>MAX(0,G401+H401-I401)</f>
        <v/>
      </c>
    </row>
    <row r="402">
      <c r="A402" s="25" t="n">
        <v>395</v>
      </c>
      <c r="B402" s="26">
        <f>EDATE(Calculator!$C$12,394)</f>
        <v/>
      </c>
      <c r="C402" s="27">
        <f>F401</f>
        <v/>
      </c>
      <c r="D402" s="28">
        <f>IF(C402&gt;0,C402*Calculator!$C$8/100/12,0)</f>
        <v/>
      </c>
      <c r="E402" s="27">
        <f>IF(C402&lt;=0,0,MIN(C402+D402,Calculator!$C$14))</f>
        <v/>
      </c>
      <c r="F402" s="29">
        <f>MAX(0,C402+D402-E402)</f>
        <v/>
      </c>
      <c r="G402" s="27">
        <f>J401</f>
        <v/>
      </c>
      <c r="H402" s="28">
        <f>IF(G402&gt;0,G402*Calculator!$C$8/100/12,0)</f>
        <v/>
      </c>
      <c r="I402" s="27">
        <f>IF(G402&lt;=0,0,MIN(G402+H402,Calculator!$C$15))</f>
        <v/>
      </c>
      <c r="J402" s="29">
        <f>MAX(0,G402+H402-I402)</f>
        <v/>
      </c>
    </row>
    <row r="403">
      <c r="A403" s="30" t="n">
        <v>396</v>
      </c>
      <c r="B403" s="31">
        <f>EDATE(Calculator!$C$12,395)</f>
        <v/>
      </c>
      <c r="C403" s="32">
        <f>F402</f>
        <v/>
      </c>
      <c r="D403" s="33">
        <f>IF(C403&gt;0,C403*Calculator!$C$8/100/12,0)</f>
        <v/>
      </c>
      <c r="E403" s="32">
        <f>IF(C403&lt;=0,0,MIN(C403+D403,Calculator!$C$14))</f>
        <v/>
      </c>
      <c r="F403" s="34">
        <f>MAX(0,C403+D403-E403)</f>
        <v/>
      </c>
      <c r="G403" s="32">
        <f>J402</f>
        <v/>
      </c>
      <c r="H403" s="33">
        <f>IF(G403&gt;0,G403*Calculator!$C$8/100/12,0)</f>
        <v/>
      </c>
      <c r="I403" s="32">
        <f>IF(G403&lt;=0,0,MIN(G403+H403,Calculator!$C$15))</f>
        <v/>
      </c>
      <c r="J403" s="34">
        <f>MAX(0,G403+H403-I403)</f>
        <v/>
      </c>
    </row>
    <row r="404">
      <c r="A404" s="25" t="n">
        <v>397</v>
      </c>
      <c r="B404" s="26">
        <f>EDATE(Calculator!$C$12,396)</f>
        <v/>
      </c>
      <c r="C404" s="27">
        <f>F403</f>
        <v/>
      </c>
      <c r="D404" s="28">
        <f>IF(C404&gt;0,C404*Calculator!$C$8/100/12,0)</f>
        <v/>
      </c>
      <c r="E404" s="27">
        <f>IF(C404&lt;=0,0,MIN(C404+D404,Calculator!$C$14))</f>
        <v/>
      </c>
      <c r="F404" s="29">
        <f>MAX(0,C404+D404-E404)</f>
        <v/>
      </c>
      <c r="G404" s="27">
        <f>J403</f>
        <v/>
      </c>
      <c r="H404" s="28">
        <f>IF(G404&gt;0,G404*Calculator!$C$8/100/12,0)</f>
        <v/>
      </c>
      <c r="I404" s="27">
        <f>IF(G404&lt;=0,0,MIN(G404+H404,Calculator!$C$15))</f>
        <v/>
      </c>
      <c r="J404" s="29">
        <f>MAX(0,G404+H404-I404)</f>
        <v/>
      </c>
    </row>
    <row r="405">
      <c r="A405" s="30" t="n">
        <v>398</v>
      </c>
      <c r="B405" s="31">
        <f>EDATE(Calculator!$C$12,397)</f>
        <v/>
      </c>
      <c r="C405" s="32">
        <f>F404</f>
        <v/>
      </c>
      <c r="D405" s="33">
        <f>IF(C405&gt;0,C405*Calculator!$C$8/100/12,0)</f>
        <v/>
      </c>
      <c r="E405" s="32">
        <f>IF(C405&lt;=0,0,MIN(C405+D405,Calculator!$C$14))</f>
        <v/>
      </c>
      <c r="F405" s="34">
        <f>MAX(0,C405+D405-E405)</f>
        <v/>
      </c>
      <c r="G405" s="32">
        <f>J404</f>
        <v/>
      </c>
      <c r="H405" s="33">
        <f>IF(G405&gt;0,G405*Calculator!$C$8/100/12,0)</f>
        <v/>
      </c>
      <c r="I405" s="32">
        <f>IF(G405&lt;=0,0,MIN(G405+H405,Calculator!$C$15))</f>
        <v/>
      </c>
      <c r="J405" s="34">
        <f>MAX(0,G405+H405-I405)</f>
        <v/>
      </c>
    </row>
    <row r="406">
      <c r="A406" s="25" t="n">
        <v>399</v>
      </c>
      <c r="B406" s="26">
        <f>EDATE(Calculator!$C$12,398)</f>
        <v/>
      </c>
      <c r="C406" s="27">
        <f>F405</f>
        <v/>
      </c>
      <c r="D406" s="28">
        <f>IF(C406&gt;0,C406*Calculator!$C$8/100/12,0)</f>
        <v/>
      </c>
      <c r="E406" s="27">
        <f>IF(C406&lt;=0,0,MIN(C406+D406,Calculator!$C$14))</f>
        <v/>
      </c>
      <c r="F406" s="29">
        <f>MAX(0,C406+D406-E406)</f>
        <v/>
      </c>
      <c r="G406" s="27">
        <f>J405</f>
        <v/>
      </c>
      <c r="H406" s="28">
        <f>IF(G406&gt;0,G406*Calculator!$C$8/100/12,0)</f>
        <v/>
      </c>
      <c r="I406" s="27">
        <f>IF(G406&lt;=0,0,MIN(G406+H406,Calculator!$C$15))</f>
        <v/>
      </c>
      <c r="J406" s="29">
        <f>MAX(0,G406+H406-I406)</f>
        <v/>
      </c>
    </row>
    <row r="407">
      <c r="A407" s="30" t="n">
        <v>400</v>
      </c>
      <c r="B407" s="31">
        <f>EDATE(Calculator!$C$12,399)</f>
        <v/>
      </c>
      <c r="C407" s="32">
        <f>F406</f>
        <v/>
      </c>
      <c r="D407" s="33">
        <f>IF(C407&gt;0,C407*Calculator!$C$8/100/12,0)</f>
        <v/>
      </c>
      <c r="E407" s="32">
        <f>IF(C407&lt;=0,0,MIN(C407+D407,Calculator!$C$14))</f>
        <v/>
      </c>
      <c r="F407" s="34">
        <f>MAX(0,C407+D407-E407)</f>
        <v/>
      </c>
      <c r="G407" s="32">
        <f>J406</f>
        <v/>
      </c>
      <c r="H407" s="33">
        <f>IF(G407&gt;0,G407*Calculator!$C$8/100/12,0)</f>
        <v/>
      </c>
      <c r="I407" s="32">
        <f>IF(G407&lt;=0,0,MIN(G407+H407,Calculator!$C$15))</f>
        <v/>
      </c>
      <c r="J407" s="34">
        <f>MAX(0,G407+H407-I407)</f>
        <v/>
      </c>
    </row>
    <row r="408">
      <c r="A408" s="25" t="n">
        <v>401</v>
      </c>
      <c r="B408" s="26">
        <f>EDATE(Calculator!$C$12,400)</f>
        <v/>
      </c>
      <c r="C408" s="27">
        <f>F407</f>
        <v/>
      </c>
      <c r="D408" s="28">
        <f>IF(C408&gt;0,C408*Calculator!$C$8/100/12,0)</f>
        <v/>
      </c>
      <c r="E408" s="27">
        <f>IF(C408&lt;=0,0,MIN(C408+D408,Calculator!$C$14))</f>
        <v/>
      </c>
      <c r="F408" s="29">
        <f>MAX(0,C408+D408-E408)</f>
        <v/>
      </c>
      <c r="G408" s="27">
        <f>J407</f>
        <v/>
      </c>
      <c r="H408" s="28">
        <f>IF(G408&gt;0,G408*Calculator!$C$8/100/12,0)</f>
        <v/>
      </c>
      <c r="I408" s="27">
        <f>IF(G408&lt;=0,0,MIN(G408+H408,Calculator!$C$15))</f>
        <v/>
      </c>
      <c r="J408" s="29">
        <f>MAX(0,G408+H408-I408)</f>
        <v/>
      </c>
    </row>
    <row r="409">
      <c r="A409" s="30" t="n">
        <v>402</v>
      </c>
      <c r="B409" s="31">
        <f>EDATE(Calculator!$C$12,401)</f>
        <v/>
      </c>
      <c r="C409" s="32">
        <f>F408</f>
        <v/>
      </c>
      <c r="D409" s="33">
        <f>IF(C409&gt;0,C409*Calculator!$C$8/100/12,0)</f>
        <v/>
      </c>
      <c r="E409" s="32">
        <f>IF(C409&lt;=0,0,MIN(C409+D409,Calculator!$C$14))</f>
        <v/>
      </c>
      <c r="F409" s="34">
        <f>MAX(0,C409+D409-E409)</f>
        <v/>
      </c>
      <c r="G409" s="32">
        <f>J408</f>
        <v/>
      </c>
      <c r="H409" s="33">
        <f>IF(G409&gt;0,G409*Calculator!$C$8/100/12,0)</f>
        <v/>
      </c>
      <c r="I409" s="32">
        <f>IF(G409&lt;=0,0,MIN(G409+H409,Calculator!$C$15))</f>
        <v/>
      </c>
      <c r="J409" s="34">
        <f>MAX(0,G409+H409-I409)</f>
        <v/>
      </c>
    </row>
    <row r="410">
      <c r="A410" s="25" t="n">
        <v>403</v>
      </c>
      <c r="B410" s="26">
        <f>EDATE(Calculator!$C$12,402)</f>
        <v/>
      </c>
      <c r="C410" s="27">
        <f>F409</f>
        <v/>
      </c>
      <c r="D410" s="28">
        <f>IF(C410&gt;0,C410*Calculator!$C$8/100/12,0)</f>
        <v/>
      </c>
      <c r="E410" s="27">
        <f>IF(C410&lt;=0,0,MIN(C410+D410,Calculator!$C$14))</f>
        <v/>
      </c>
      <c r="F410" s="29">
        <f>MAX(0,C410+D410-E410)</f>
        <v/>
      </c>
      <c r="G410" s="27">
        <f>J409</f>
        <v/>
      </c>
      <c r="H410" s="28">
        <f>IF(G410&gt;0,G410*Calculator!$C$8/100/12,0)</f>
        <v/>
      </c>
      <c r="I410" s="27">
        <f>IF(G410&lt;=0,0,MIN(G410+H410,Calculator!$C$15))</f>
        <v/>
      </c>
      <c r="J410" s="29">
        <f>MAX(0,G410+H410-I410)</f>
        <v/>
      </c>
    </row>
    <row r="411">
      <c r="A411" s="30" t="n">
        <v>404</v>
      </c>
      <c r="B411" s="31">
        <f>EDATE(Calculator!$C$12,403)</f>
        <v/>
      </c>
      <c r="C411" s="32">
        <f>F410</f>
        <v/>
      </c>
      <c r="D411" s="33">
        <f>IF(C411&gt;0,C411*Calculator!$C$8/100/12,0)</f>
        <v/>
      </c>
      <c r="E411" s="32">
        <f>IF(C411&lt;=0,0,MIN(C411+D411,Calculator!$C$14))</f>
        <v/>
      </c>
      <c r="F411" s="34">
        <f>MAX(0,C411+D411-E411)</f>
        <v/>
      </c>
      <c r="G411" s="32">
        <f>J410</f>
        <v/>
      </c>
      <c r="H411" s="33">
        <f>IF(G411&gt;0,G411*Calculator!$C$8/100/12,0)</f>
        <v/>
      </c>
      <c r="I411" s="32">
        <f>IF(G411&lt;=0,0,MIN(G411+H411,Calculator!$C$15))</f>
        <v/>
      </c>
      <c r="J411" s="34">
        <f>MAX(0,G411+H411-I411)</f>
        <v/>
      </c>
    </row>
    <row r="412">
      <c r="A412" s="25" t="n">
        <v>405</v>
      </c>
      <c r="B412" s="26">
        <f>EDATE(Calculator!$C$12,404)</f>
        <v/>
      </c>
      <c r="C412" s="27">
        <f>F411</f>
        <v/>
      </c>
      <c r="D412" s="28">
        <f>IF(C412&gt;0,C412*Calculator!$C$8/100/12,0)</f>
        <v/>
      </c>
      <c r="E412" s="27">
        <f>IF(C412&lt;=0,0,MIN(C412+D412,Calculator!$C$14))</f>
        <v/>
      </c>
      <c r="F412" s="29">
        <f>MAX(0,C412+D412-E412)</f>
        <v/>
      </c>
      <c r="G412" s="27">
        <f>J411</f>
        <v/>
      </c>
      <c r="H412" s="28">
        <f>IF(G412&gt;0,G412*Calculator!$C$8/100/12,0)</f>
        <v/>
      </c>
      <c r="I412" s="27">
        <f>IF(G412&lt;=0,0,MIN(G412+H412,Calculator!$C$15))</f>
        <v/>
      </c>
      <c r="J412" s="29">
        <f>MAX(0,G412+H412-I412)</f>
        <v/>
      </c>
    </row>
    <row r="413">
      <c r="A413" s="30" t="n">
        <v>406</v>
      </c>
      <c r="B413" s="31">
        <f>EDATE(Calculator!$C$12,405)</f>
        <v/>
      </c>
      <c r="C413" s="32">
        <f>F412</f>
        <v/>
      </c>
      <c r="D413" s="33">
        <f>IF(C413&gt;0,C413*Calculator!$C$8/100/12,0)</f>
        <v/>
      </c>
      <c r="E413" s="32">
        <f>IF(C413&lt;=0,0,MIN(C413+D413,Calculator!$C$14))</f>
        <v/>
      </c>
      <c r="F413" s="34">
        <f>MAX(0,C413+D413-E413)</f>
        <v/>
      </c>
      <c r="G413" s="32">
        <f>J412</f>
        <v/>
      </c>
      <c r="H413" s="33">
        <f>IF(G413&gt;0,G413*Calculator!$C$8/100/12,0)</f>
        <v/>
      </c>
      <c r="I413" s="32">
        <f>IF(G413&lt;=0,0,MIN(G413+H413,Calculator!$C$15))</f>
        <v/>
      </c>
      <c r="J413" s="34">
        <f>MAX(0,G413+H413-I413)</f>
        <v/>
      </c>
    </row>
    <row r="414">
      <c r="A414" s="25" t="n">
        <v>407</v>
      </c>
      <c r="B414" s="26">
        <f>EDATE(Calculator!$C$12,406)</f>
        <v/>
      </c>
      <c r="C414" s="27">
        <f>F413</f>
        <v/>
      </c>
      <c r="D414" s="28">
        <f>IF(C414&gt;0,C414*Calculator!$C$8/100/12,0)</f>
        <v/>
      </c>
      <c r="E414" s="27">
        <f>IF(C414&lt;=0,0,MIN(C414+D414,Calculator!$C$14))</f>
        <v/>
      </c>
      <c r="F414" s="29">
        <f>MAX(0,C414+D414-E414)</f>
        <v/>
      </c>
      <c r="G414" s="27">
        <f>J413</f>
        <v/>
      </c>
      <c r="H414" s="28">
        <f>IF(G414&gt;0,G414*Calculator!$C$8/100/12,0)</f>
        <v/>
      </c>
      <c r="I414" s="27">
        <f>IF(G414&lt;=0,0,MIN(G414+H414,Calculator!$C$15))</f>
        <v/>
      </c>
      <c r="J414" s="29">
        <f>MAX(0,G414+H414-I414)</f>
        <v/>
      </c>
    </row>
    <row r="415">
      <c r="A415" s="30" t="n">
        <v>408</v>
      </c>
      <c r="B415" s="31">
        <f>EDATE(Calculator!$C$12,407)</f>
        <v/>
      </c>
      <c r="C415" s="32">
        <f>F414</f>
        <v/>
      </c>
      <c r="D415" s="33">
        <f>IF(C415&gt;0,C415*Calculator!$C$8/100/12,0)</f>
        <v/>
      </c>
      <c r="E415" s="32">
        <f>IF(C415&lt;=0,0,MIN(C415+D415,Calculator!$C$14))</f>
        <v/>
      </c>
      <c r="F415" s="34">
        <f>MAX(0,C415+D415-E415)</f>
        <v/>
      </c>
      <c r="G415" s="32">
        <f>J414</f>
        <v/>
      </c>
      <c r="H415" s="33">
        <f>IF(G415&gt;0,G415*Calculator!$C$8/100/12,0)</f>
        <v/>
      </c>
      <c r="I415" s="32">
        <f>IF(G415&lt;=0,0,MIN(G415+H415,Calculator!$C$15))</f>
        <v/>
      </c>
      <c r="J415" s="34">
        <f>MAX(0,G415+H415-I415)</f>
        <v/>
      </c>
    </row>
    <row r="416">
      <c r="A416" s="25" t="n">
        <v>409</v>
      </c>
      <c r="B416" s="26">
        <f>EDATE(Calculator!$C$12,408)</f>
        <v/>
      </c>
      <c r="C416" s="27">
        <f>F415</f>
        <v/>
      </c>
      <c r="D416" s="28">
        <f>IF(C416&gt;0,C416*Calculator!$C$8/100/12,0)</f>
        <v/>
      </c>
      <c r="E416" s="27">
        <f>IF(C416&lt;=0,0,MIN(C416+D416,Calculator!$C$14))</f>
        <v/>
      </c>
      <c r="F416" s="29">
        <f>MAX(0,C416+D416-E416)</f>
        <v/>
      </c>
      <c r="G416" s="27">
        <f>J415</f>
        <v/>
      </c>
      <c r="H416" s="28">
        <f>IF(G416&gt;0,G416*Calculator!$C$8/100/12,0)</f>
        <v/>
      </c>
      <c r="I416" s="27">
        <f>IF(G416&lt;=0,0,MIN(G416+H416,Calculator!$C$15))</f>
        <v/>
      </c>
      <c r="J416" s="29">
        <f>MAX(0,G416+H416-I416)</f>
        <v/>
      </c>
    </row>
    <row r="417">
      <c r="A417" s="30" t="n">
        <v>410</v>
      </c>
      <c r="B417" s="31">
        <f>EDATE(Calculator!$C$12,409)</f>
        <v/>
      </c>
      <c r="C417" s="32">
        <f>F416</f>
        <v/>
      </c>
      <c r="D417" s="33">
        <f>IF(C417&gt;0,C417*Calculator!$C$8/100/12,0)</f>
        <v/>
      </c>
      <c r="E417" s="32">
        <f>IF(C417&lt;=0,0,MIN(C417+D417,Calculator!$C$14))</f>
        <v/>
      </c>
      <c r="F417" s="34">
        <f>MAX(0,C417+D417-E417)</f>
        <v/>
      </c>
      <c r="G417" s="32">
        <f>J416</f>
        <v/>
      </c>
      <c r="H417" s="33">
        <f>IF(G417&gt;0,G417*Calculator!$C$8/100/12,0)</f>
        <v/>
      </c>
      <c r="I417" s="32">
        <f>IF(G417&lt;=0,0,MIN(G417+H417,Calculator!$C$15))</f>
        <v/>
      </c>
      <c r="J417" s="34">
        <f>MAX(0,G417+H417-I417)</f>
        <v/>
      </c>
    </row>
    <row r="418">
      <c r="A418" s="25" t="n">
        <v>411</v>
      </c>
      <c r="B418" s="26">
        <f>EDATE(Calculator!$C$12,410)</f>
        <v/>
      </c>
      <c r="C418" s="27">
        <f>F417</f>
        <v/>
      </c>
      <c r="D418" s="28">
        <f>IF(C418&gt;0,C418*Calculator!$C$8/100/12,0)</f>
        <v/>
      </c>
      <c r="E418" s="27">
        <f>IF(C418&lt;=0,0,MIN(C418+D418,Calculator!$C$14))</f>
        <v/>
      </c>
      <c r="F418" s="29">
        <f>MAX(0,C418+D418-E418)</f>
        <v/>
      </c>
      <c r="G418" s="27">
        <f>J417</f>
        <v/>
      </c>
      <c r="H418" s="28">
        <f>IF(G418&gt;0,G418*Calculator!$C$8/100/12,0)</f>
        <v/>
      </c>
      <c r="I418" s="27">
        <f>IF(G418&lt;=0,0,MIN(G418+H418,Calculator!$C$15))</f>
        <v/>
      </c>
      <c r="J418" s="29">
        <f>MAX(0,G418+H418-I418)</f>
        <v/>
      </c>
    </row>
    <row r="419">
      <c r="A419" s="30" t="n">
        <v>412</v>
      </c>
      <c r="B419" s="31">
        <f>EDATE(Calculator!$C$12,411)</f>
        <v/>
      </c>
      <c r="C419" s="32">
        <f>F418</f>
        <v/>
      </c>
      <c r="D419" s="33">
        <f>IF(C419&gt;0,C419*Calculator!$C$8/100/12,0)</f>
        <v/>
      </c>
      <c r="E419" s="32">
        <f>IF(C419&lt;=0,0,MIN(C419+D419,Calculator!$C$14))</f>
        <v/>
      </c>
      <c r="F419" s="34">
        <f>MAX(0,C419+D419-E419)</f>
        <v/>
      </c>
      <c r="G419" s="32">
        <f>J418</f>
        <v/>
      </c>
      <c r="H419" s="33">
        <f>IF(G419&gt;0,G419*Calculator!$C$8/100/12,0)</f>
        <v/>
      </c>
      <c r="I419" s="32">
        <f>IF(G419&lt;=0,0,MIN(G419+H419,Calculator!$C$15))</f>
        <v/>
      </c>
      <c r="J419" s="34">
        <f>MAX(0,G419+H419-I419)</f>
        <v/>
      </c>
    </row>
    <row r="420">
      <c r="A420" s="25" t="n">
        <v>413</v>
      </c>
      <c r="B420" s="26">
        <f>EDATE(Calculator!$C$12,412)</f>
        <v/>
      </c>
      <c r="C420" s="27">
        <f>F419</f>
        <v/>
      </c>
      <c r="D420" s="28">
        <f>IF(C420&gt;0,C420*Calculator!$C$8/100/12,0)</f>
        <v/>
      </c>
      <c r="E420" s="27">
        <f>IF(C420&lt;=0,0,MIN(C420+D420,Calculator!$C$14))</f>
        <v/>
      </c>
      <c r="F420" s="29">
        <f>MAX(0,C420+D420-E420)</f>
        <v/>
      </c>
      <c r="G420" s="27">
        <f>J419</f>
        <v/>
      </c>
      <c r="H420" s="28">
        <f>IF(G420&gt;0,G420*Calculator!$C$8/100/12,0)</f>
        <v/>
      </c>
      <c r="I420" s="27">
        <f>IF(G420&lt;=0,0,MIN(G420+H420,Calculator!$C$15))</f>
        <v/>
      </c>
      <c r="J420" s="29">
        <f>MAX(0,G420+H420-I420)</f>
        <v/>
      </c>
    </row>
    <row r="421">
      <c r="A421" s="30" t="n">
        <v>414</v>
      </c>
      <c r="B421" s="31">
        <f>EDATE(Calculator!$C$12,413)</f>
        <v/>
      </c>
      <c r="C421" s="32">
        <f>F420</f>
        <v/>
      </c>
      <c r="D421" s="33">
        <f>IF(C421&gt;0,C421*Calculator!$C$8/100/12,0)</f>
        <v/>
      </c>
      <c r="E421" s="32">
        <f>IF(C421&lt;=0,0,MIN(C421+D421,Calculator!$C$14))</f>
        <v/>
      </c>
      <c r="F421" s="34">
        <f>MAX(0,C421+D421-E421)</f>
        <v/>
      </c>
      <c r="G421" s="32">
        <f>J420</f>
        <v/>
      </c>
      <c r="H421" s="33">
        <f>IF(G421&gt;0,G421*Calculator!$C$8/100/12,0)</f>
        <v/>
      </c>
      <c r="I421" s="32">
        <f>IF(G421&lt;=0,0,MIN(G421+H421,Calculator!$C$15))</f>
        <v/>
      </c>
      <c r="J421" s="34">
        <f>MAX(0,G421+H421-I421)</f>
        <v/>
      </c>
    </row>
    <row r="422">
      <c r="A422" s="25" t="n">
        <v>415</v>
      </c>
      <c r="B422" s="26">
        <f>EDATE(Calculator!$C$12,414)</f>
        <v/>
      </c>
      <c r="C422" s="27">
        <f>F421</f>
        <v/>
      </c>
      <c r="D422" s="28">
        <f>IF(C422&gt;0,C422*Calculator!$C$8/100/12,0)</f>
        <v/>
      </c>
      <c r="E422" s="27">
        <f>IF(C422&lt;=0,0,MIN(C422+D422,Calculator!$C$14))</f>
        <v/>
      </c>
      <c r="F422" s="29">
        <f>MAX(0,C422+D422-E422)</f>
        <v/>
      </c>
      <c r="G422" s="27">
        <f>J421</f>
        <v/>
      </c>
      <c r="H422" s="28">
        <f>IF(G422&gt;0,G422*Calculator!$C$8/100/12,0)</f>
        <v/>
      </c>
      <c r="I422" s="27">
        <f>IF(G422&lt;=0,0,MIN(G422+H422,Calculator!$C$15))</f>
        <v/>
      </c>
      <c r="J422" s="29">
        <f>MAX(0,G422+H422-I422)</f>
        <v/>
      </c>
    </row>
    <row r="423">
      <c r="A423" s="30" t="n">
        <v>416</v>
      </c>
      <c r="B423" s="31">
        <f>EDATE(Calculator!$C$12,415)</f>
        <v/>
      </c>
      <c r="C423" s="32">
        <f>F422</f>
        <v/>
      </c>
      <c r="D423" s="33">
        <f>IF(C423&gt;0,C423*Calculator!$C$8/100/12,0)</f>
        <v/>
      </c>
      <c r="E423" s="32">
        <f>IF(C423&lt;=0,0,MIN(C423+D423,Calculator!$C$14))</f>
        <v/>
      </c>
      <c r="F423" s="34">
        <f>MAX(0,C423+D423-E423)</f>
        <v/>
      </c>
      <c r="G423" s="32">
        <f>J422</f>
        <v/>
      </c>
      <c r="H423" s="33">
        <f>IF(G423&gt;0,G423*Calculator!$C$8/100/12,0)</f>
        <v/>
      </c>
      <c r="I423" s="32">
        <f>IF(G423&lt;=0,0,MIN(G423+H423,Calculator!$C$15))</f>
        <v/>
      </c>
      <c r="J423" s="34">
        <f>MAX(0,G423+H423-I423)</f>
        <v/>
      </c>
    </row>
    <row r="424">
      <c r="A424" s="25" t="n">
        <v>417</v>
      </c>
      <c r="B424" s="26">
        <f>EDATE(Calculator!$C$12,416)</f>
        <v/>
      </c>
      <c r="C424" s="27">
        <f>F423</f>
        <v/>
      </c>
      <c r="D424" s="28">
        <f>IF(C424&gt;0,C424*Calculator!$C$8/100/12,0)</f>
        <v/>
      </c>
      <c r="E424" s="27">
        <f>IF(C424&lt;=0,0,MIN(C424+D424,Calculator!$C$14))</f>
        <v/>
      </c>
      <c r="F424" s="29">
        <f>MAX(0,C424+D424-E424)</f>
        <v/>
      </c>
      <c r="G424" s="27">
        <f>J423</f>
        <v/>
      </c>
      <c r="H424" s="28">
        <f>IF(G424&gt;0,G424*Calculator!$C$8/100/12,0)</f>
        <v/>
      </c>
      <c r="I424" s="27">
        <f>IF(G424&lt;=0,0,MIN(G424+H424,Calculator!$C$15))</f>
        <v/>
      </c>
      <c r="J424" s="29">
        <f>MAX(0,G424+H424-I424)</f>
        <v/>
      </c>
    </row>
    <row r="425">
      <c r="A425" s="30" t="n">
        <v>418</v>
      </c>
      <c r="B425" s="31">
        <f>EDATE(Calculator!$C$12,417)</f>
        <v/>
      </c>
      <c r="C425" s="32">
        <f>F424</f>
        <v/>
      </c>
      <c r="D425" s="33">
        <f>IF(C425&gt;0,C425*Calculator!$C$8/100/12,0)</f>
        <v/>
      </c>
      <c r="E425" s="32">
        <f>IF(C425&lt;=0,0,MIN(C425+D425,Calculator!$C$14))</f>
        <v/>
      </c>
      <c r="F425" s="34">
        <f>MAX(0,C425+D425-E425)</f>
        <v/>
      </c>
      <c r="G425" s="32">
        <f>J424</f>
        <v/>
      </c>
      <c r="H425" s="33">
        <f>IF(G425&gt;0,G425*Calculator!$C$8/100/12,0)</f>
        <v/>
      </c>
      <c r="I425" s="32">
        <f>IF(G425&lt;=0,0,MIN(G425+H425,Calculator!$C$15))</f>
        <v/>
      </c>
      <c r="J425" s="34">
        <f>MAX(0,G425+H425-I425)</f>
        <v/>
      </c>
    </row>
    <row r="426">
      <c r="A426" s="25" t="n">
        <v>419</v>
      </c>
      <c r="B426" s="26">
        <f>EDATE(Calculator!$C$12,418)</f>
        <v/>
      </c>
      <c r="C426" s="27">
        <f>F425</f>
        <v/>
      </c>
      <c r="D426" s="28">
        <f>IF(C426&gt;0,C426*Calculator!$C$8/100/12,0)</f>
        <v/>
      </c>
      <c r="E426" s="27">
        <f>IF(C426&lt;=0,0,MIN(C426+D426,Calculator!$C$14))</f>
        <v/>
      </c>
      <c r="F426" s="29">
        <f>MAX(0,C426+D426-E426)</f>
        <v/>
      </c>
      <c r="G426" s="27">
        <f>J425</f>
        <v/>
      </c>
      <c r="H426" s="28">
        <f>IF(G426&gt;0,G426*Calculator!$C$8/100/12,0)</f>
        <v/>
      </c>
      <c r="I426" s="27">
        <f>IF(G426&lt;=0,0,MIN(G426+H426,Calculator!$C$15))</f>
        <v/>
      </c>
      <c r="J426" s="29">
        <f>MAX(0,G426+H426-I426)</f>
        <v/>
      </c>
    </row>
    <row r="427">
      <c r="A427" s="30" t="n">
        <v>420</v>
      </c>
      <c r="B427" s="31">
        <f>EDATE(Calculator!$C$12,419)</f>
        <v/>
      </c>
      <c r="C427" s="32">
        <f>F426</f>
        <v/>
      </c>
      <c r="D427" s="33">
        <f>IF(C427&gt;0,C427*Calculator!$C$8/100/12,0)</f>
        <v/>
      </c>
      <c r="E427" s="32">
        <f>IF(C427&lt;=0,0,MIN(C427+D427,Calculator!$C$14))</f>
        <v/>
      </c>
      <c r="F427" s="34">
        <f>MAX(0,C427+D427-E427)</f>
        <v/>
      </c>
      <c r="G427" s="32">
        <f>J426</f>
        <v/>
      </c>
      <c r="H427" s="33">
        <f>IF(G427&gt;0,G427*Calculator!$C$8/100/12,0)</f>
        <v/>
      </c>
      <c r="I427" s="32">
        <f>IF(G427&lt;=0,0,MIN(G427+H427,Calculator!$C$15))</f>
        <v/>
      </c>
      <c r="J427" s="34">
        <f>MAX(0,G427+H427-I427)</f>
        <v/>
      </c>
    </row>
    <row r="428">
      <c r="A428" s="25" t="n">
        <v>421</v>
      </c>
      <c r="B428" s="26">
        <f>EDATE(Calculator!$C$12,420)</f>
        <v/>
      </c>
      <c r="C428" s="27">
        <f>F427</f>
        <v/>
      </c>
      <c r="D428" s="28">
        <f>IF(C428&gt;0,C428*Calculator!$C$8/100/12,0)</f>
        <v/>
      </c>
      <c r="E428" s="27">
        <f>IF(C428&lt;=0,0,MIN(C428+D428,Calculator!$C$14))</f>
        <v/>
      </c>
      <c r="F428" s="29">
        <f>MAX(0,C428+D428-E428)</f>
        <v/>
      </c>
      <c r="G428" s="27">
        <f>J427</f>
        <v/>
      </c>
      <c r="H428" s="28">
        <f>IF(G428&gt;0,G428*Calculator!$C$8/100/12,0)</f>
        <v/>
      </c>
      <c r="I428" s="27">
        <f>IF(G428&lt;=0,0,MIN(G428+H428,Calculator!$C$15))</f>
        <v/>
      </c>
      <c r="J428" s="29">
        <f>MAX(0,G428+H428-I428)</f>
        <v/>
      </c>
    </row>
    <row r="429">
      <c r="A429" s="30" t="n">
        <v>422</v>
      </c>
      <c r="B429" s="31">
        <f>EDATE(Calculator!$C$12,421)</f>
        <v/>
      </c>
      <c r="C429" s="32">
        <f>F428</f>
        <v/>
      </c>
      <c r="D429" s="33">
        <f>IF(C429&gt;0,C429*Calculator!$C$8/100/12,0)</f>
        <v/>
      </c>
      <c r="E429" s="32">
        <f>IF(C429&lt;=0,0,MIN(C429+D429,Calculator!$C$14))</f>
        <v/>
      </c>
      <c r="F429" s="34">
        <f>MAX(0,C429+D429-E429)</f>
        <v/>
      </c>
      <c r="G429" s="32">
        <f>J428</f>
        <v/>
      </c>
      <c r="H429" s="33">
        <f>IF(G429&gt;0,G429*Calculator!$C$8/100/12,0)</f>
        <v/>
      </c>
      <c r="I429" s="32">
        <f>IF(G429&lt;=0,0,MIN(G429+H429,Calculator!$C$15))</f>
        <v/>
      </c>
      <c r="J429" s="34">
        <f>MAX(0,G429+H429-I429)</f>
        <v/>
      </c>
    </row>
    <row r="430">
      <c r="A430" s="25" t="n">
        <v>423</v>
      </c>
      <c r="B430" s="26">
        <f>EDATE(Calculator!$C$12,422)</f>
        <v/>
      </c>
      <c r="C430" s="27">
        <f>F429</f>
        <v/>
      </c>
      <c r="D430" s="28">
        <f>IF(C430&gt;0,C430*Calculator!$C$8/100/12,0)</f>
        <v/>
      </c>
      <c r="E430" s="27">
        <f>IF(C430&lt;=0,0,MIN(C430+D430,Calculator!$C$14))</f>
        <v/>
      </c>
      <c r="F430" s="29">
        <f>MAX(0,C430+D430-E430)</f>
        <v/>
      </c>
      <c r="G430" s="27">
        <f>J429</f>
        <v/>
      </c>
      <c r="H430" s="28">
        <f>IF(G430&gt;0,G430*Calculator!$C$8/100/12,0)</f>
        <v/>
      </c>
      <c r="I430" s="27">
        <f>IF(G430&lt;=0,0,MIN(G430+H430,Calculator!$C$15))</f>
        <v/>
      </c>
      <c r="J430" s="29">
        <f>MAX(0,G430+H430-I430)</f>
        <v/>
      </c>
    </row>
    <row r="431">
      <c r="A431" s="30" t="n">
        <v>424</v>
      </c>
      <c r="B431" s="31">
        <f>EDATE(Calculator!$C$12,423)</f>
        <v/>
      </c>
      <c r="C431" s="32">
        <f>F430</f>
        <v/>
      </c>
      <c r="D431" s="33">
        <f>IF(C431&gt;0,C431*Calculator!$C$8/100/12,0)</f>
        <v/>
      </c>
      <c r="E431" s="32">
        <f>IF(C431&lt;=0,0,MIN(C431+D431,Calculator!$C$14))</f>
        <v/>
      </c>
      <c r="F431" s="34">
        <f>MAX(0,C431+D431-E431)</f>
        <v/>
      </c>
      <c r="G431" s="32">
        <f>J430</f>
        <v/>
      </c>
      <c r="H431" s="33">
        <f>IF(G431&gt;0,G431*Calculator!$C$8/100/12,0)</f>
        <v/>
      </c>
      <c r="I431" s="32">
        <f>IF(G431&lt;=0,0,MIN(G431+H431,Calculator!$C$15))</f>
        <v/>
      </c>
      <c r="J431" s="34">
        <f>MAX(0,G431+H431-I431)</f>
        <v/>
      </c>
    </row>
    <row r="432">
      <c r="A432" s="25" t="n">
        <v>425</v>
      </c>
      <c r="B432" s="26">
        <f>EDATE(Calculator!$C$12,424)</f>
        <v/>
      </c>
      <c r="C432" s="27">
        <f>F431</f>
        <v/>
      </c>
      <c r="D432" s="28">
        <f>IF(C432&gt;0,C432*Calculator!$C$8/100/12,0)</f>
        <v/>
      </c>
      <c r="E432" s="27">
        <f>IF(C432&lt;=0,0,MIN(C432+D432,Calculator!$C$14))</f>
        <v/>
      </c>
      <c r="F432" s="29">
        <f>MAX(0,C432+D432-E432)</f>
        <v/>
      </c>
      <c r="G432" s="27">
        <f>J431</f>
        <v/>
      </c>
      <c r="H432" s="28">
        <f>IF(G432&gt;0,G432*Calculator!$C$8/100/12,0)</f>
        <v/>
      </c>
      <c r="I432" s="27">
        <f>IF(G432&lt;=0,0,MIN(G432+H432,Calculator!$C$15))</f>
        <v/>
      </c>
      <c r="J432" s="29">
        <f>MAX(0,G432+H432-I432)</f>
        <v/>
      </c>
    </row>
    <row r="433">
      <c r="A433" s="30" t="n">
        <v>426</v>
      </c>
      <c r="B433" s="31">
        <f>EDATE(Calculator!$C$12,425)</f>
        <v/>
      </c>
      <c r="C433" s="32">
        <f>F432</f>
        <v/>
      </c>
      <c r="D433" s="33">
        <f>IF(C433&gt;0,C433*Calculator!$C$8/100/12,0)</f>
        <v/>
      </c>
      <c r="E433" s="32">
        <f>IF(C433&lt;=0,0,MIN(C433+D433,Calculator!$C$14))</f>
        <v/>
      </c>
      <c r="F433" s="34">
        <f>MAX(0,C433+D433-E433)</f>
        <v/>
      </c>
      <c r="G433" s="32">
        <f>J432</f>
        <v/>
      </c>
      <c r="H433" s="33">
        <f>IF(G433&gt;0,G433*Calculator!$C$8/100/12,0)</f>
        <v/>
      </c>
      <c r="I433" s="32">
        <f>IF(G433&lt;=0,0,MIN(G433+H433,Calculator!$C$15))</f>
        <v/>
      </c>
      <c r="J433" s="34">
        <f>MAX(0,G433+H433-I433)</f>
        <v/>
      </c>
    </row>
    <row r="434">
      <c r="A434" s="25" t="n">
        <v>427</v>
      </c>
      <c r="B434" s="26">
        <f>EDATE(Calculator!$C$12,426)</f>
        <v/>
      </c>
      <c r="C434" s="27">
        <f>F433</f>
        <v/>
      </c>
      <c r="D434" s="28">
        <f>IF(C434&gt;0,C434*Calculator!$C$8/100/12,0)</f>
        <v/>
      </c>
      <c r="E434" s="27">
        <f>IF(C434&lt;=0,0,MIN(C434+D434,Calculator!$C$14))</f>
        <v/>
      </c>
      <c r="F434" s="29">
        <f>MAX(0,C434+D434-E434)</f>
        <v/>
      </c>
      <c r="G434" s="27">
        <f>J433</f>
        <v/>
      </c>
      <c r="H434" s="28">
        <f>IF(G434&gt;0,G434*Calculator!$C$8/100/12,0)</f>
        <v/>
      </c>
      <c r="I434" s="27">
        <f>IF(G434&lt;=0,0,MIN(G434+H434,Calculator!$C$15))</f>
        <v/>
      </c>
      <c r="J434" s="29">
        <f>MAX(0,G434+H434-I434)</f>
        <v/>
      </c>
    </row>
    <row r="435">
      <c r="A435" s="30" t="n">
        <v>428</v>
      </c>
      <c r="B435" s="31">
        <f>EDATE(Calculator!$C$12,427)</f>
        <v/>
      </c>
      <c r="C435" s="32">
        <f>F434</f>
        <v/>
      </c>
      <c r="D435" s="33">
        <f>IF(C435&gt;0,C435*Calculator!$C$8/100/12,0)</f>
        <v/>
      </c>
      <c r="E435" s="32">
        <f>IF(C435&lt;=0,0,MIN(C435+D435,Calculator!$C$14))</f>
        <v/>
      </c>
      <c r="F435" s="34">
        <f>MAX(0,C435+D435-E435)</f>
        <v/>
      </c>
      <c r="G435" s="32">
        <f>J434</f>
        <v/>
      </c>
      <c r="H435" s="33">
        <f>IF(G435&gt;0,G435*Calculator!$C$8/100/12,0)</f>
        <v/>
      </c>
      <c r="I435" s="32">
        <f>IF(G435&lt;=0,0,MIN(G435+H435,Calculator!$C$15))</f>
        <v/>
      </c>
      <c r="J435" s="34">
        <f>MAX(0,G435+H435-I435)</f>
        <v/>
      </c>
    </row>
    <row r="436">
      <c r="A436" s="25" t="n">
        <v>429</v>
      </c>
      <c r="B436" s="26">
        <f>EDATE(Calculator!$C$12,428)</f>
        <v/>
      </c>
      <c r="C436" s="27">
        <f>F435</f>
        <v/>
      </c>
      <c r="D436" s="28">
        <f>IF(C436&gt;0,C436*Calculator!$C$8/100/12,0)</f>
        <v/>
      </c>
      <c r="E436" s="27">
        <f>IF(C436&lt;=0,0,MIN(C436+D436,Calculator!$C$14))</f>
        <v/>
      </c>
      <c r="F436" s="29">
        <f>MAX(0,C436+D436-E436)</f>
        <v/>
      </c>
      <c r="G436" s="27">
        <f>J435</f>
        <v/>
      </c>
      <c r="H436" s="28">
        <f>IF(G436&gt;0,G436*Calculator!$C$8/100/12,0)</f>
        <v/>
      </c>
      <c r="I436" s="27">
        <f>IF(G436&lt;=0,0,MIN(G436+H436,Calculator!$C$15))</f>
        <v/>
      </c>
      <c r="J436" s="29">
        <f>MAX(0,G436+H436-I436)</f>
        <v/>
      </c>
    </row>
    <row r="437">
      <c r="A437" s="30" t="n">
        <v>430</v>
      </c>
      <c r="B437" s="31">
        <f>EDATE(Calculator!$C$12,429)</f>
        <v/>
      </c>
      <c r="C437" s="32">
        <f>F436</f>
        <v/>
      </c>
      <c r="D437" s="33">
        <f>IF(C437&gt;0,C437*Calculator!$C$8/100/12,0)</f>
        <v/>
      </c>
      <c r="E437" s="32">
        <f>IF(C437&lt;=0,0,MIN(C437+D437,Calculator!$C$14))</f>
        <v/>
      </c>
      <c r="F437" s="34">
        <f>MAX(0,C437+D437-E437)</f>
        <v/>
      </c>
      <c r="G437" s="32">
        <f>J436</f>
        <v/>
      </c>
      <c r="H437" s="33">
        <f>IF(G437&gt;0,G437*Calculator!$C$8/100/12,0)</f>
        <v/>
      </c>
      <c r="I437" s="32">
        <f>IF(G437&lt;=0,0,MIN(G437+H437,Calculator!$C$15))</f>
        <v/>
      </c>
      <c r="J437" s="34">
        <f>MAX(0,G437+H437-I437)</f>
        <v/>
      </c>
    </row>
    <row r="438">
      <c r="A438" s="25" t="n">
        <v>431</v>
      </c>
      <c r="B438" s="26">
        <f>EDATE(Calculator!$C$12,430)</f>
        <v/>
      </c>
      <c r="C438" s="27">
        <f>F437</f>
        <v/>
      </c>
      <c r="D438" s="28">
        <f>IF(C438&gt;0,C438*Calculator!$C$8/100/12,0)</f>
        <v/>
      </c>
      <c r="E438" s="27">
        <f>IF(C438&lt;=0,0,MIN(C438+D438,Calculator!$C$14))</f>
        <v/>
      </c>
      <c r="F438" s="29">
        <f>MAX(0,C438+D438-E438)</f>
        <v/>
      </c>
      <c r="G438" s="27">
        <f>J437</f>
        <v/>
      </c>
      <c r="H438" s="28">
        <f>IF(G438&gt;0,G438*Calculator!$C$8/100/12,0)</f>
        <v/>
      </c>
      <c r="I438" s="27">
        <f>IF(G438&lt;=0,0,MIN(G438+H438,Calculator!$C$15))</f>
        <v/>
      </c>
      <c r="J438" s="29">
        <f>MAX(0,G438+H438-I438)</f>
        <v/>
      </c>
    </row>
    <row r="439">
      <c r="A439" s="30" t="n">
        <v>432</v>
      </c>
      <c r="B439" s="31">
        <f>EDATE(Calculator!$C$12,431)</f>
        <v/>
      </c>
      <c r="C439" s="32">
        <f>F438</f>
        <v/>
      </c>
      <c r="D439" s="33">
        <f>IF(C439&gt;0,C439*Calculator!$C$8/100/12,0)</f>
        <v/>
      </c>
      <c r="E439" s="32">
        <f>IF(C439&lt;=0,0,MIN(C439+D439,Calculator!$C$14))</f>
        <v/>
      </c>
      <c r="F439" s="34">
        <f>MAX(0,C439+D439-E439)</f>
        <v/>
      </c>
      <c r="G439" s="32">
        <f>J438</f>
        <v/>
      </c>
      <c r="H439" s="33">
        <f>IF(G439&gt;0,G439*Calculator!$C$8/100/12,0)</f>
        <v/>
      </c>
      <c r="I439" s="32">
        <f>IF(G439&lt;=0,0,MIN(G439+H439,Calculator!$C$15))</f>
        <v/>
      </c>
      <c r="J439" s="34">
        <f>MAX(0,G439+H439-I439)</f>
        <v/>
      </c>
    </row>
    <row r="440">
      <c r="A440" s="25" t="n">
        <v>433</v>
      </c>
      <c r="B440" s="26">
        <f>EDATE(Calculator!$C$12,432)</f>
        <v/>
      </c>
      <c r="C440" s="27">
        <f>F439</f>
        <v/>
      </c>
      <c r="D440" s="28">
        <f>IF(C440&gt;0,C440*Calculator!$C$8/100/12,0)</f>
        <v/>
      </c>
      <c r="E440" s="27">
        <f>IF(C440&lt;=0,0,MIN(C440+D440,Calculator!$C$14))</f>
        <v/>
      </c>
      <c r="F440" s="29">
        <f>MAX(0,C440+D440-E440)</f>
        <v/>
      </c>
      <c r="G440" s="27">
        <f>J439</f>
        <v/>
      </c>
      <c r="H440" s="28">
        <f>IF(G440&gt;0,G440*Calculator!$C$8/100/12,0)</f>
        <v/>
      </c>
      <c r="I440" s="27">
        <f>IF(G440&lt;=0,0,MIN(G440+H440,Calculator!$C$15))</f>
        <v/>
      </c>
      <c r="J440" s="29">
        <f>MAX(0,G440+H440-I440)</f>
        <v/>
      </c>
    </row>
    <row r="441">
      <c r="A441" s="30" t="n">
        <v>434</v>
      </c>
      <c r="B441" s="31">
        <f>EDATE(Calculator!$C$12,433)</f>
        <v/>
      </c>
      <c r="C441" s="32">
        <f>F440</f>
        <v/>
      </c>
      <c r="D441" s="33">
        <f>IF(C441&gt;0,C441*Calculator!$C$8/100/12,0)</f>
        <v/>
      </c>
      <c r="E441" s="32">
        <f>IF(C441&lt;=0,0,MIN(C441+D441,Calculator!$C$14))</f>
        <v/>
      </c>
      <c r="F441" s="34">
        <f>MAX(0,C441+D441-E441)</f>
        <v/>
      </c>
      <c r="G441" s="32">
        <f>J440</f>
        <v/>
      </c>
      <c r="H441" s="33">
        <f>IF(G441&gt;0,G441*Calculator!$C$8/100/12,0)</f>
        <v/>
      </c>
      <c r="I441" s="32">
        <f>IF(G441&lt;=0,0,MIN(G441+H441,Calculator!$C$15))</f>
        <v/>
      </c>
      <c r="J441" s="34">
        <f>MAX(0,G441+H441-I441)</f>
        <v/>
      </c>
    </row>
    <row r="442">
      <c r="A442" s="25" t="n">
        <v>435</v>
      </c>
      <c r="B442" s="26">
        <f>EDATE(Calculator!$C$12,434)</f>
        <v/>
      </c>
      <c r="C442" s="27">
        <f>F441</f>
        <v/>
      </c>
      <c r="D442" s="28">
        <f>IF(C442&gt;0,C442*Calculator!$C$8/100/12,0)</f>
        <v/>
      </c>
      <c r="E442" s="27">
        <f>IF(C442&lt;=0,0,MIN(C442+D442,Calculator!$C$14))</f>
        <v/>
      </c>
      <c r="F442" s="29">
        <f>MAX(0,C442+D442-E442)</f>
        <v/>
      </c>
      <c r="G442" s="27">
        <f>J441</f>
        <v/>
      </c>
      <c r="H442" s="28">
        <f>IF(G442&gt;0,G442*Calculator!$C$8/100/12,0)</f>
        <v/>
      </c>
      <c r="I442" s="27">
        <f>IF(G442&lt;=0,0,MIN(G442+H442,Calculator!$C$15))</f>
        <v/>
      </c>
      <c r="J442" s="29">
        <f>MAX(0,G442+H442-I442)</f>
        <v/>
      </c>
    </row>
    <row r="443">
      <c r="A443" s="30" t="n">
        <v>436</v>
      </c>
      <c r="B443" s="31">
        <f>EDATE(Calculator!$C$12,435)</f>
        <v/>
      </c>
      <c r="C443" s="32">
        <f>F442</f>
        <v/>
      </c>
      <c r="D443" s="33">
        <f>IF(C443&gt;0,C443*Calculator!$C$8/100/12,0)</f>
        <v/>
      </c>
      <c r="E443" s="32">
        <f>IF(C443&lt;=0,0,MIN(C443+D443,Calculator!$C$14))</f>
        <v/>
      </c>
      <c r="F443" s="34">
        <f>MAX(0,C443+D443-E443)</f>
        <v/>
      </c>
      <c r="G443" s="32">
        <f>J442</f>
        <v/>
      </c>
      <c r="H443" s="33">
        <f>IF(G443&gt;0,G443*Calculator!$C$8/100/12,0)</f>
        <v/>
      </c>
      <c r="I443" s="32">
        <f>IF(G443&lt;=0,0,MIN(G443+H443,Calculator!$C$15))</f>
        <v/>
      </c>
      <c r="J443" s="34">
        <f>MAX(0,G443+H443-I443)</f>
        <v/>
      </c>
    </row>
    <row r="444">
      <c r="A444" s="25" t="n">
        <v>437</v>
      </c>
      <c r="B444" s="26">
        <f>EDATE(Calculator!$C$12,436)</f>
        <v/>
      </c>
      <c r="C444" s="27">
        <f>F443</f>
        <v/>
      </c>
      <c r="D444" s="28">
        <f>IF(C444&gt;0,C444*Calculator!$C$8/100/12,0)</f>
        <v/>
      </c>
      <c r="E444" s="27">
        <f>IF(C444&lt;=0,0,MIN(C444+D444,Calculator!$C$14))</f>
        <v/>
      </c>
      <c r="F444" s="29">
        <f>MAX(0,C444+D444-E444)</f>
        <v/>
      </c>
      <c r="G444" s="27">
        <f>J443</f>
        <v/>
      </c>
      <c r="H444" s="28">
        <f>IF(G444&gt;0,G444*Calculator!$C$8/100/12,0)</f>
        <v/>
      </c>
      <c r="I444" s="27">
        <f>IF(G444&lt;=0,0,MIN(G444+H444,Calculator!$C$15))</f>
        <v/>
      </c>
      <c r="J444" s="29">
        <f>MAX(0,G444+H444-I444)</f>
        <v/>
      </c>
    </row>
    <row r="445">
      <c r="A445" s="30" t="n">
        <v>438</v>
      </c>
      <c r="B445" s="31">
        <f>EDATE(Calculator!$C$12,437)</f>
        <v/>
      </c>
      <c r="C445" s="32">
        <f>F444</f>
        <v/>
      </c>
      <c r="D445" s="33">
        <f>IF(C445&gt;0,C445*Calculator!$C$8/100/12,0)</f>
        <v/>
      </c>
      <c r="E445" s="32">
        <f>IF(C445&lt;=0,0,MIN(C445+D445,Calculator!$C$14))</f>
        <v/>
      </c>
      <c r="F445" s="34">
        <f>MAX(0,C445+D445-E445)</f>
        <v/>
      </c>
      <c r="G445" s="32">
        <f>J444</f>
        <v/>
      </c>
      <c r="H445" s="33">
        <f>IF(G445&gt;0,G445*Calculator!$C$8/100/12,0)</f>
        <v/>
      </c>
      <c r="I445" s="32">
        <f>IF(G445&lt;=0,0,MIN(G445+H445,Calculator!$C$15))</f>
        <v/>
      </c>
      <c r="J445" s="34">
        <f>MAX(0,G445+H445-I445)</f>
        <v/>
      </c>
    </row>
    <row r="446">
      <c r="A446" s="25" t="n">
        <v>439</v>
      </c>
      <c r="B446" s="26">
        <f>EDATE(Calculator!$C$12,438)</f>
        <v/>
      </c>
      <c r="C446" s="27">
        <f>F445</f>
        <v/>
      </c>
      <c r="D446" s="28">
        <f>IF(C446&gt;0,C446*Calculator!$C$8/100/12,0)</f>
        <v/>
      </c>
      <c r="E446" s="27">
        <f>IF(C446&lt;=0,0,MIN(C446+D446,Calculator!$C$14))</f>
        <v/>
      </c>
      <c r="F446" s="29">
        <f>MAX(0,C446+D446-E446)</f>
        <v/>
      </c>
      <c r="G446" s="27">
        <f>J445</f>
        <v/>
      </c>
      <c r="H446" s="28">
        <f>IF(G446&gt;0,G446*Calculator!$C$8/100/12,0)</f>
        <v/>
      </c>
      <c r="I446" s="27">
        <f>IF(G446&lt;=0,0,MIN(G446+H446,Calculator!$C$15))</f>
        <v/>
      </c>
      <c r="J446" s="29">
        <f>MAX(0,G446+H446-I446)</f>
        <v/>
      </c>
    </row>
    <row r="447">
      <c r="A447" s="30" t="n">
        <v>440</v>
      </c>
      <c r="B447" s="31">
        <f>EDATE(Calculator!$C$12,439)</f>
        <v/>
      </c>
      <c r="C447" s="32">
        <f>F446</f>
        <v/>
      </c>
      <c r="D447" s="33">
        <f>IF(C447&gt;0,C447*Calculator!$C$8/100/12,0)</f>
        <v/>
      </c>
      <c r="E447" s="32">
        <f>IF(C447&lt;=0,0,MIN(C447+D447,Calculator!$C$14))</f>
        <v/>
      </c>
      <c r="F447" s="34">
        <f>MAX(0,C447+D447-E447)</f>
        <v/>
      </c>
      <c r="G447" s="32">
        <f>J446</f>
        <v/>
      </c>
      <c r="H447" s="33">
        <f>IF(G447&gt;0,G447*Calculator!$C$8/100/12,0)</f>
        <v/>
      </c>
      <c r="I447" s="32">
        <f>IF(G447&lt;=0,0,MIN(G447+H447,Calculator!$C$15))</f>
        <v/>
      </c>
      <c r="J447" s="34">
        <f>MAX(0,G447+H447-I447)</f>
        <v/>
      </c>
    </row>
    <row r="448">
      <c r="A448" s="25" t="n">
        <v>441</v>
      </c>
      <c r="B448" s="26">
        <f>EDATE(Calculator!$C$12,440)</f>
        <v/>
      </c>
      <c r="C448" s="27">
        <f>F447</f>
        <v/>
      </c>
      <c r="D448" s="28">
        <f>IF(C448&gt;0,C448*Calculator!$C$8/100/12,0)</f>
        <v/>
      </c>
      <c r="E448" s="27">
        <f>IF(C448&lt;=0,0,MIN(C448+D448,Calculator!$C$14))</f>
        <v/>
      </c>
      <c r="F448" s="29">
        <f>MAX(0,C448+D448-E448)</f>
        <v/>
      </c>
      <c r="G448" s="27">
        <f>J447</f>
        <v/>
      </c>
      <c r="H448" s="28">
        <f>IF(G448&gt;0,G448*Calculator!$C$8/100/12,0)</f>
        <v/>
      </c>
      <c r="I448" s="27">
        <f>IF(G448&lt;=0,0,MIN(G448+H448,Calculator!$C$15))</f>
        <v/>
      </c>
      <c r="J448" s="29">
        <f>MAX(0,G448+H448-I448)</f>
        <v/>
      </c>
    </row>
    <row r="449">
      <c r="A449" s="30" t="n">
        <v>442</v>
      </c>
      <c r="B449" s="31">
        <f>EDATE(Calculator!$C$12,441)</f>
        <v/>
      </c>
      <c r="C449" s="32">
        <f>F448</f>
        <v/>
      </c>
      <c r="D449" s="33">
        <f>IF(C449&gt;0,C449*Calculator!$C$8/100/12,0)</f>
        <v/>
      </c>
      <c r="E449" s="32">
        <f>IF(C449&lt;=0,0,MIN(C449+D449,Calculator!$C$14))</f>
        <v/>
      </c>
      <c r="F449" s="34">
        <f>MAX(0,C449+D449-E449)</f>
        <v/>
      </c>
      <c r="G449" s="32">
        <f>J448</f>
        <v/>
      </c>
      <c r="H449" s="33">
        <f>IF(G449&gt;0,G449*Calculator!$C$8/100/12,0)</f>
        <v/>
      </c>
      <c r="I449" s="32">
        <f>IF(G449&lt;=0,0,MIN(G449+H449,Calculator!$C$15))</f>
        <v/>
      </c>
      <c r="J449" s="34">
        <f>MAX(0,G449+H449-I449)</f>
        <v/>
      </c>
    </row>
    <row r="450">
      <c r="A450" s="25" t="n">
        <v>443</v>
      </c>
      <c r="B450" s="26">
        <f>EDATE(Calculator!$C$12,442)</f>
        <v/>
      </c>
      <c r="C450" s="27">
        <f>F449</f>
        <v/>
      </c>
      <c r="D450" s="28">
        <f>IF(C450&gt;0,C450*Calculator!$C$8/100/12,0)</f>
        <v/>
      </c>
      <c r="E450" s="27">
        <f>IF(C450&lt;=0,0,MIN(C450+D450,Calculator!$C$14))</f>
        <v/>
      </c>
      <c r="F450" s="29">
        <f>MAX(0,C450+D450-E450)</f>
        <v/>
      </c>
      <c r="G450" s="27">
        <f>J449</f>
        <v/>
      </c>
      <c r="H450" s="28">
        <f>IF(G450&gt;0,G450*Calculator!$C$8/100/12,0)</f>
        <v/>
      </c>
      <c r="I450" s="27">
        <f>IF(G450&lt;=0,0,MIN(G450+H450,Calculator!$C$15))</f>
        <v/>
      </c>
      <c r="J450" s="29">
        <f>MAX(0,G450+H450-I450)</f>
        <v/>
      </c>
    </row>
    <row r="451">
      <c r="A451" s="30" t="n">
        <v>444</v>
      </c>
      <c r="B451" s="31">
        <f>EDATE(Calculator!$C$12,443)</f>
        <v/>
      </c>
      <c r="C451" s="32">
        <f>F450</f>
        <v/>
      </c>
      <c r="D451" s="33">
        <f>IF(C451&gt;0,C451*Calculator!$C$8/100/12,0)</f>
        <v/>
      </c>
      <c r="E451" s="32">
        <f>IF(C451&lt;=0,0,MIN(C451+D451,Calculator!$C$14))</f>
        <v/>
      </c>
      <c r="F451" s="34">
        <f>MAX(0,C451+D451-E451)</f>
        <v/>
      </c>
      <c r="G451" s="32">
        <f>J450</f>
        <v/>
      </c>
      <c r="H451" s="33">
        <f>IF(G451&gt;0,G451*Calculator!$C$8/100/12,0)</f>
        <v/>
      </c>
      <c r="I451" s="32">
        <f>IF(G451&lt;=0,0,MIN(G451+H451,Calculator!$C$15))</f>
        <v/>
      </c>
      <c r="J451" s="34">
        <f>MAX(0,G451+H451-I451)</f>
        <v/>
      </c>
    </row>
    <row r="452">
      <c r="A452" s="25" t="n">
        <v>445</v>
      </c>
      <c r="B452" s="26">
        <f>EDATE(Calculator!$C$12,444)</f>
        <v/>
      </c>
      <c r="C452" s="27">
        <f>F451</f>
        <v/>
      </c>
      <c r="D452" s="28">
        <f>IF(C452&gt;0,C452*Calculator!$C$8/100/12,0)</f>
        <v/>
      </c>
      <c r="E452" s="27">
        <f>IF(C452&lt;=0,0,MIN(C452+D452,Calculator!$C$14))</f>
        <v/>
      </c>
      <c r="F452" s="29">
        <f>MAX(0,C452+D452-E452)</f>
        <v/>
      </c>
      <c r="G452" s="27">
        <f>J451</f>
        <v/>
      </c>
      <c r="H452" s="28">
        <f>IF(G452&gt;0,G452*Calculator!$C$8/100/12,0)</f>
        <v/>
      </c>
      <c r="I452" s="27">
        <f>IF(G452&lt;=0,0,MIN(G452+H452,Calculator!$C$15))</f>
        <v/>
      </c>
      <c r="J452" s="29">
        <f>MAX(0,G452+H452-I452)</f>
        <v/>
      </c>
    </row>
    <row r="453">
      <c r="A453" s="30" t="n">
        <v>446</v>
      </c>
      <c r="B453" s="31">
        <f>EDATE(Calculator!$C$12,445)</f>
        <v/>
      </c>
      <c r="C453" s="32">
        <f>F452</f>
        <v/>
      </c>
      <c r="D453" s="33">
        <f>IF(C453&gt;0,C453*Calculator!$C$8/100/12,0)</f>
        <v/>
      </c>
      <c r="E453" s="32">
        <f>IF(C453&lt;=0,0,MIN(C453+D453,Calculator!$C$14))</f>
        <v/>
      </c>
      <c r="F453" s="34">
        <f>MAX(0,C453+D453-E453)</f>
        <v/>
      </c>
      <c r="G453" s="32">
        <f>J452</f>
        <v/>
      </c>
      <c r="H453" s="33">
        <f>IF(G453&gt;0,G453*Calculator!$C$8/100/12,0)</f>
        <v/>
      </c>
      <c r="I453" s="32">
        <f>IF(G453&lt;=0,0,MIN(G453+H453,Calculator!$C$15))</f>
        <v/>
      </c>
      <c r="J453" s="34">
        <f>MAX(0,G453+H453-I453)</f>
        <v/>
      </c>
    </row>
    <row r="454">
      <c r="A454" s="25" t="n">
        <v>447</v>
      </c>
      <c r="B454" s="26">
        <f>EDATE(Calculator!$C$12,446)</f>
        <v/>
      </c>
      <c r="C454" s="27">
        <f>F453</f>
        <v/>
      </c>
      <c r="D454" s="28">
        <f>IF(C454&gt;0,C454*Calculator!$C$8/100/12,0)</f>
        <v/>
      </c>
      <c r="E454" s="27">
        <f>IF(C454&lt;=0,0,MIN(C454+D454,Calculator!$C$14))</f>
        <v/>
      </c>
      <c r="F454" s="29">
        <f>MAX(0,C454+D454-E454)</f>
        <v/>
      </c>
      <c r="G454" s="27">
        <f>J453</f>
        <v/>
      </c>
      <c r="H454" s="28">
        <f>IF(G454&gt;0,G454*Calculator!$C$8/100/12,0)</f>
        <v/>
      </c>
      <c r="I454" s="27">
        <f>IF(G454&lt;=0,0,MIN(G454+H454,Calculator!$C$15))</f>
        <v/>
      </c>
      <c r="J454" s="29">
        <f>MAX(0,G454+H454-I454)</f>
        <v/>
      </c>
    </row>
    <row r="455">
      <c r="A455" s="30" t="n">
        <v>448</v>
      </c>
      <c r="B455" s="31">
        <f>EDATE(Calculator!$C$12,447)</f>
        <v/>
      </c>
      <c r="C455" s="32">
        <f>F454</f>
        <v/>
      </c>
      <c r="D455" s="33">
        <f>IF(C455&gt;0,C455*Calculator!$C$8/100/12,0)</f>
        <v/>
      </c>
      <c r="E455" s="32">
        <f>IF(C455&lt;=0,0,MIN(C455+D455,Calculator!$C$14))</f>
        <v/>
      </c>
      <c r="F455" s="34">
        <f>MAX(0,C455+D455-E455)</f>
        <v/>
      </c>
      <c r="G455" s="32">
        <f>J454</f>
        <v/>
      </c>
      <c r="H455" s="33">
        <f>IF(G455&gt;0,G455*Calculator!$C$8/100/12,0)</f>
        <v/>
      </c>
      <c r="I455" s="32">
        <f>IF(G455&lt;=0,0,MIN(G455+H455,Calculator!$C$15))</f>
        <v/>
      </c>
      <c r="J455" s="34">
        <f>MAX(0,G455+H455-I455)</f>
        <v/>
      </c>
    </row>
    <row r="456">
      <c r="A456" s="25" t="n">
        <v>449</v>
      </c>
      <c r="B456" s="26">
        <f>EDATE(Calculator!$C$12,448)</f>
        <v/>
      </c>
      <c r="C456" s="27">
        <f>F455</f>
        <v/>
      </c>
      <c r="D456" s="28">
        <f>IF(C456&gt;0,C456*Calculator!$C$8/100/12,0)</f>
        <v/>
      </c>
      <c r="E456" s="27">
        <f>IF(C456&lt;=0,0,MIN(C456+D456,Calculator!$C$14))</f>
        <v/>
      </c>
      <c r="F456" s="29">
        <f>MAX(0,C456+D456-E456)</f>
        <v/>
      </c>
      <c r="G456" s="27">
        <f>J455</f>
        <v/>
      </c>
      <c r="H456" s="28">
        <f>IF(G456&gt;0,G456*Calculator!$C$8/100/12,0)</f>
        <v/>
      </c>
      <c r="I456" s="27">
        <f>IF(G456&lt;=0,0,MIN(G456+H456,Calculator!$C$15))</f>
        <v/>
      </c>
      <c r="J456" s="29">
        <f>MAX(0,G456+H456-I456)</f>
        <v/>
      </c>
    </row>
    <row r="457">
      <c r="A457" s="30" t="n">
        <v>450</v>
      </c>
      <c r="B457" s="31">
        <f>EDATE(Calculator!$C$12,449)</f>
        <v/>
      </c>
      <c r="C457" s="32">
        <f>F456</f>
        <v/>
      </c>
      <c r="D457" s="33">
        <f>IF(C457&gt;0,C457*Calculator!$C$8/100/12,0)</f>
        <v/>
      </c>
      <c r="E457" s="32">
        <f>IF(C457&lt;=0,0,MIN(C457+D457,Calculator!$C$14))</f>
        <v/>
      </c>
      <c r="F457" s="34">
        <f>MAX(0,C457+D457-E457)</f>
        <v/>
      </c>
      <c r="G457" s="32">
        <f>J456</f>
        <v/>
      </c>
      <c r="H457" s="33">
        <f>IF(G457&gt;0,G457*Calculator!$C$8/100/12,0)</f>
        <v/>
      </c>
      <c r="I457" s="32">
        <f>IF(G457&lt;=0,0,MIN(G457+H457,Calculator!$C$15))</f>
        <v/>
      </c>
      <c r="J457" s="34">
        <f>MAX(0,G457+H457-I457)</f>
        <v/>
      </c>
    </row>
    <row r="458">
      <c r="A458" s="25" t="n">
        <v>451</v>
      </c>
      <c r="B458" s="26">
        <f>EDATE(Calculator!$C$12,450)</f>
        <v/>
      </c>
      <c r="C458" s="27">
        <f>F457</f>
        <v/>
      </c>
      <c r="D458" s="28">
        <f>IF(C458&gt;0,C458*Calculator!$C$8/100/12,0)</f>
        <v/>
      </c>
      <c r="E458" s="27">
        <f>IF(C458&lt;=0,0,MIN(C458+D458,Calculator!$C$14))</f>
        <v/>
      </c>
      <c r="F458" s="29">
        <f>MAX(0,C458+D458-E458)</f>
        <v/>
      </c>
      <c r="G458" s="27">
        <f>J457</f>
        <v/>
      </c>
      <c r="H458" s="28">
        <f>IF(G458&gt;0,G458*Calculator!$C$8/100/12,0)</f>
        <v/>
      </c>
      <c r="I458" s="27">
        <f>IF(G458&lt;=0,0,MIN(G458+H458,Calculator!$C$15))</f>
        <v/>
      </c>
      <c r="J458" s="29">
        <f>MAX(0,G458+H458-I458)</f>
        <v/>
      </c>
    </row>
    <row r="459">
      <c r="A459" s="30" t="n">
        <v>452</v>
      </c>
      <c r="B459" s="31">
        <f>EDATE(Calculator!$C$12,451)</f>
        <v/>
      </c>
      <c r="C459" s="32">
        <f>F458</f>
        <v/>
      </c>
      <c r="D459" s="33">
        <f>IF(C459&gt;0,C459*Calculator!$C$8/100/12,0)</f>
        <v/>
      </c>
      <c r="E459" s="32">
        <f>IF(C459&lt;=0,0,MIN(C459+D459,Calculator!$C$14))</f>
        <v/>
      </c>
      <c r="F459" s="34">
        <f>MAX(0,C459+D459-E459)</f>
        <v/>
      </c>
      <c r="G459" s="32">
        <f>J458</f>
        <v/>
      </c>
      <c r="H459" s="33">
        <f>IF(G459&gt;0,G459*Calculator!$C$8/100/12,0)</f>
        <v/>
      </c>
      <c r="I459" s="32">
        <f>IF(G459&lt;=0,0,MIN(G459+H459,Calculator!$C$15))</f>
        <v/>
      </c>
      <c r="J459" s="34">
        <f>MAX(0,G459+H459-I459)</f>
        <v/>
      </c>
    </row>
    <row r="460">
      <c r="A460" s="25" t="n">
        <v>453</v>
      </c>
      <c r="B460" s="26">
        <f>EDATE(Calculator!$C$12,452)</f>
        <v/>
      </c>
      <c r="C460" s="27">
        <f>F459</f>
        <v/>
      </c>
      <c r="D460" s="28">
        <f>IF(C460&gt;0,C460*Calculator!$C$8/100/12,0)</f>
        <v/>
      </c>
      <c r="E460" s="27">
        <f>IF(C460&lt;=0,0,MIN(C460+D460,Calculator!$C$14))</f>
        <v/>
      </c>
      <c r="F460" s="29">
        <f>MAX(0,C460+D460-E460)</f>
        <v/>
      </c>
      <c r="G460" s="27">
        <f>J459</f>
        <v/>
      </c>
      <c r="H460" s="28">
        <f>IF(G460&gt;0,G460*Calculator!$C$8/100/12,0)</f>
        <v/>
      </c>
      <c r="I460" s="27">
        <f>IF(G460&lt;=0,0,MIN(G460+H460,Calculator!$C$15))</f>
        <v/>
      </c>
      <c r="J460" s="29">
        <f>MAX(0,G460+H460-I460)</f>
        <v/>
      </c>
    </row>
    <row r="461">
      <c r="A461" s="30" t="n">
        <v>454</v>
      </c>
      <c r="B461" s="31">
        <f>EDATE(Calculator!$C$12,453)</f>
        <v/>
      </c>
      <c r="C461" s="32">
        <f>F460</f>
        <v/>
      </c>
      <c r="D461" s="33">
        <f>IF(C461&gt;0,C461*Calculator!$C$8/100/12,0)</f>
        <v/>
      </c>
      <c r="E461" s="32">
        <f>IF(C461&lt;=0,0,MIN(C461+D461,Calculator!$C$14))</f>
        <v/>
      </c>
      <c r="F461" s="34">
        <f>MAX(0,C461+D461-E461)</f>
        <v/>
      </c>
      <c r="G461" s="32">
        <f>J460</f>
        <v/>
      </c>
      <c r="H461" s="33">
        <f>IF(G461&gt;0,G461*Calculator!$C$8/100/12,0)</f>
        <v/>
      </c>
      <c r="I461" s="32">
        <f>IF(G461&lt;=0,0,MIN(G461+H461,Calculator!$C$15))</f>
        <v/>
      </c>
      <c r="J461" s="34">
        <f>MAX(0,G461+H461-I461)</f>
        <v/>
      </c>
    </row>
    <row r="462">
      <c r="A462" s="25" t="n">
        <v>455</v>
      </c>
      <c r="B462" s="26">
        <f>EDATE(Calculator!$C$12,454)</f>
        <v/>
      </c>
      <c r="C462" s="27">
        <f>F461</f>
        <v/>
      </c>
      <c r="D462" s="28">
        <f>IF(C462&gt;0,C462*Calculator!$C$8/100/12,0)</f>
        <v/>
      </c>
      <c r="E462" s="27">
        <f>IF(C462&lt;=0,0,MIN(C462+D462,Calculator!$C$14))</f>
        <v/>
      </c>
      <c r="F462" s="29">
        <f>MAX(0,C462+D462-E462)</f>
        <v/>
      </c>
      <c r="G462" s="27">
        <f>J461</f>
        <v/>
      </c>
      <c r="H462" s="28">
        <f>IF(G462&gt;0,G462*Calculator!$C$8/100/12,0)</f>
        <v/>
      </c>
      <c r="I462" s="27">
        <f>IF(G462&lt;=0,0,MIN(G462+H462,Calculator!$C$15))</f>
        <v/>
      </c>
      <c r="J462" s="29">
        <f>MAX(0,G462+H462-I462)</f>
        <v/>
      </c>
    </row>
    <row r="463">
      <c r="A463" s="30" t="n">
        <v>456</v>
      </c>
      <c r="B463" s="31">
        <f>EDATE(Calculator!$C$12,455)</f>
        <v/>
      </c>
      <c r="C463" s="32">
        <f>F462</f>
        <v/>
      </c>
      <c r="D463" s="33">
        <f>IF(C463&gt;0,C463*Calculator!$C$8/100/12,0)</f>
        <v/>
      </c>
      <c r="E463" s="32">
        <f>IF(C463&lt;=0,0,MIN(C463+D463,Calculator!$C$14))</f>
        <v/>
      </c>
      <c r="F463" s="34">
        <f>MAX(0,C463+D463-E463)</f>
        <v/>
      </c>
      <c r="G463" s="32">
        <f>J462</f>
        <v/>
      </c>
      <c r="H463" s="33">
        <f>IF(G463&gt;0,G463*Calculator!$C$8/100/12,0)</f>
        <v/>
      </c>
      <c r="I463" s="32">
        <f>IF(G463&lt;=0,0,MIN(G463+H463,Calculator!$C$15))</f>
        <v/>
      </c>
      <c r="J463" s="34">
        <f>MAX(0,G463+H463-I463)</f>
        <v/>
      </c>
    </row>
    <row r="464">
      <c r="A464" s="25" t="n">
        <v>457</v>
      </c>
      <c r="B464" s="26">
        <f>EDATE(Calculator!$C$12,456)</f>
        <v/>
      </c>
      <c r="C464" s="27">
        <f>F463</f>
        <v/>
      </c>
      <c r="D464" s="28">
        <f>IF(C464&gt;0,C464*Calculator!$C$8/100/12,0)</f>
        <v/>
      </c>
      <c r="E464" s="27">
        <f>IF(C464&lt;=0,0,MIN(C464+D464,Calculator!$C$14))</f>
        <v/>
      </c>
      <c r="F464" s="29">
        <f>MAX(0,C464+D464-E464)</f>
        <v/>
      </c>
      <c r="G464" s="27">
        <f>J463</f>
        <v/>
      </c>
      <c r="H464" s="28">
        <f>IF(G464&gt;0,G464*Calculator!$C$8/100/12,0)</f>
        <v/>
      </c>
      <c r="I464" s="27">
        <f>IF(G464&lt;=0,0,MIN(G464+H464,Calculator!$C$15))</f>
        <v/>
      </c>
      <c r="J464" s="29">
        <f>MAX(0,G464+H464-I464)</f>
        <v/>
      </c>
    </row>
    <row r="465">
      <c r="A465" s="30" t="n">
        <v>458</v>
      </c>
      <c r="B465" s="31">
        <f>EDATE(Calculator!$C$12,457)</f>
        <v/>
      </c>
      <c r="C465" s="32">
        <f>F464</f>
        <v/>
      </c>
      <c r="D465" s="33">
        <f>IF(C465&gt;0,C465*Calculator!$C$8/100/12,0)</f>
        <v/>
      </c>
      <c r="E465" s="32">
        <f>IF(C465&lt;=0,0,MIN(C465+D465,Calculator!$C$14))</f>
        <v/>
      </c>
      <c r="F465" s="34">
        <f>MAX(0,C465+D465-E465)</f>
        <v/>
      </c>
      <c r="G465" s="32">
        <f>J464</f>
        <v/>
      </c>
      <c r="H465" s="33">
        <f>IF(G465&gt;0,G465*Calculator!$C$8/100/12,0)</f>
        <v/>
      </c>
      <c r="I465" s="32">
        <f>IF(G465&lt;=0,0,MIN(G465+H465,Calculator!$C$15))</f>
        <v/>
      </c>
      <c r="J465" s="34">
        <f>MAX(0,G465+H465-I465)</f>
        <v/>
      </c>
    </row>
    <row r="466">
      <c r="A466" s="25" t="n">
        <v>459</v>
      </c>
      <c r="B466" s="26">
        <f>EDATE(Calculator!$C$12,458)</f>
        <v/>
      </c>
      <c r="C466" s="27">
        <f>F465</f>
        <v/>
      </c>
      <c r="D466" s="28">
        <f>IF(C466&gt;0,C466*Calculator!$C$8/100/12,0)</f>
        <v/>
      </c>
      <c r="E466" s="27">
        <f>IF(C466&lt;=0,0,MIN(C466+D466,Calculator!$C$14))</f>
        <v/>
      </c>
      <c r="F466" s="29">
        <f>MAX(0,C466+D466-E466)</f>
        <v/>
      </c>
      <c r="G466" s="27">
        <f>J465</f>
        <v/>
      </c>
      <c r="H466" s="28">
        <f>IF(G466&gt;0,G466*Calculator!$C$8/100/12,0)</f>
        <v/>
      </c>
      <c r="I466" s="27">
        <f>IF(G466&lt;=0,0,MIN(G466+H466,Calculator!$C$15))</f>
        <v/>
      </c>
      <c r="J466" s="29">
        <f>MAX(0,G466+H466-I466)</f>
        <v/>
      </c>
    </row>
    <row r="467">
      <c r="A467" s="30" t="n">
        <v>460</v>
      </c>
      <c r="B467" s="31">
        <f>EDATE(Calculator!$C$12,459)</f>
        <v/>
      </c>
      <c r="C467" s="32">
        <f>F466</f>
        <v/>
      </c>
      <c r="D467" s="33">
        <f>IF(C467&gt;0,C467*Calculator!$C$8/100/12,0)</f>
        <v/>
      </c>
      <c r="E467" s="32">
        <f>IF(C467&lt;=0,0,MIN(C467+D467,Calculator!$C$14))</f>
        <v/>
      </c>
      <c r="F467" s="34">
        <f>MAX(0,C467+D467-E467)</f>
        <v/>
      </c>
      <c r="G467" s="32">
        <f>J466</f>
        <v/>
      </c>
      <c r="H467" s="33">
        <f>IF(G467&gt;0,G467*Calculator!$C$8/100/12,0)</f>
        <v/>
      </c>
      <c r="I467" s="32">
        <f>IF(G467&lt;=0,0,MIN(G467+H467,Calculator!$C$15))</f>
        <v/>
      </c>
      <c r="J467" s="34">
        <f>MAX(0,G467+H467-I467)</f>
        <v/>
      </c>
    </row>
    <row r="468">
      <c r="A468" s="25" t="n">
        <v>461</v>
      </c>
      <c r="B468" s="26">
        <f>EDATE(Calculator!$C$12,460)</f>
        <v/>
      </c>
      <c r="C468" s="27">
        <f>F467</f>
        <v/>
      </c>
      <c r="D468" s="28">
        <f>IF(C468&gt;0,C468*Calculator!$C$8/100/12,0)</f>
        <v/>
      </c>
      <c r="E468" s="27">
        <f>IF(C468&lt;=0,0,MIN(C468+D468,Calculator!$C$14))</f>
        <v/>
      </c>
      <c r="F468" s="29">
        <f>MAX(0,C468+D468-E468)</f>
        <v/>
      </c>
      <c r="G468" s="27">
        <f>J467</f>
        <v/>
      </c>
      <c r="H468" s="28">
        <f>IF(G468&gt;0,G468*Calculator!$C$8/100/12,0)</f>
        <v/>
      </c>
      <c r="I468" s="27">
        <f>IF(G468&lt;=0,0,MIN(G468+H468,Calculator!$C$15))</f>
        <v/>
      </c>
      <c r="J468" s="29">
        <f>MAX(0,G468+H468-I468)</f>
        <v/>
      </c>
    </row>
    <row r="469">
      <c r="A469" s="30" t="n">
        <v>462</v>
      </c>
      <c r="B469" s="31">
        <f>EDATE(Calculator!$C$12,461)</f>
        <v/>
      </c>
      <c r="C469" s="32">
        <f>F468</f>
        <v/>
      </c>
      <c r="D469" s="33">
        <f>IF(C469&gt;0,C469*Calculator!$C$8/100/12,0)</f>
        <v/>
      </c>
      <c r="E469" s="32">
        <f>IF(C469&lt;=0,0,MIN(C469+D469,Calculator!$C$14))</f>
        <v/>
      </c>
      <c r="F469" s="34">
        <f>MAX(0,C469+D469-E469)</f>
        <v/>
      </c>
      <c r="G469" s="32">
        <f>J468</f>
        <v/>
      </c>
      <c r="H469" s="33">
        <f>IF(G469&gt;0,G469*Calculator!$C$8/100/12,0)</f>
        <v/>
      </c>
      <c r="I469" s="32">
        <f>IF(G469&lt;=0,0,MIN(G469+H469,Calculator!$C$15))</f>
        <v/>
      </c>
      <c r="J469" s="34">
        <f>MAX(0,G469+H469-I469)</f>
        <v/>
      </c>
    </row>
    <row r="470">
      <c r="A470" s="25" t="n">
        <v>463</v>
      </c>
      <c r="B470" s="26">
        <f>EDATE(Calculator!$C$12,462)</f>
        <v/>
      </c>
      <c r="C470" s="27">
        <f>F469</f>
        <v/>
      </c>
      <c r="D470" s="28">
        <f>IF(C470&gt;0,C470*Calculator!$C$8/100/12,0)</f>
        <v/>
      </c>
      <c r="E470" s="27">
        <f>IF(C470&lt;=0,0,MIN(C470+D470,Calculator!$C$14))</f>
        <v/>
      </c>
      <c r="F470" s="29">
        <f>MAX(0,C470+D470-E470)</f>
        <v/>
      </c>
      <c r="G470" s="27">
        <f>J469</f>
        <v/>
      </c>
      <c r="H470" s="28">
        <f>IF(G470&gt;0,G470*Calculator!$C$8/100/12,0)</f>
        <v/>
      </c>
      <c r="I470" s="27">
        <f>IF(G470&lt;=0,0,MIN(G470+H470,Calculator!$C$15))</f>
        <v/>
      </c>
      <c r="J470" s="29">
        <f>MAX(0,G470+H470-I470)</f>
        <v/>
      </c>
    </row>
    <row r="471">
      <c r="A471" s="30" t="n">
        <v>464</v>
      </c>
      <c r="B471" s="31">
        <f>EDATE(Calculator!$C$12,463)</f>
        <v/>
      </c>
      <c r="C471" s="32">
        <f>F470</f>
        <v/>
      </c>
      <c r="D471" s="33">
        <f>IF(C471&gt;0,C471*Calculator!$C$8/100/12,0)</f>
        <v/>
      </c>
      <c r="E471" s="32">
        <f>IF(C471&lt;=0,0,MIN(C471+D471,Calculator!$C$14))</f>
        <v/>
      </c>
      <c r="F471" s="34">
        <f>MAX(0,C471+D471-E471)</f>
        <v/>
      </c>
      <c r="G471" s="32">
        <f>J470</f>
        <v/>
      </c>
      <c r="H471" s="33">
        <f>IF(G471&gt;0,G471*Calculator!$C$8/100/12,0)</f>
        <v/>
      </c>
      <c r="I471" s="32">
        <f>IF(G471&lt;=0,0,MIN(G471+H471,Calculator!$C$15))</f>
        <v/>
      </c>
      <c r="J471" s="34">
        <f>MAX(0,G471+H471-I471)</f>
        <v/>
      </c>
    </row>
    <row r="472">
      <c r="A472" s="25" t="n">
        <v>465</v>
      </c>
      <c r="B472" s="26">
        <f>EDATE(Calculator!$C$12,464)</f>
        <v/>
      </c>
      <c r="C472" s="27">
        <f>F471</f>
        <v/>
      </c>
      <c r="D472" s="28">
        <f>IF(C472&gt;0,C472*Calculator!$C$8/100/12,0)</f>
        <v/>
      </c>
      <c r="E472" s="27">
        <f>IF(C472&lt;=0,0,MIN(C472+D472,Calculator!$C$14))</f>
        <v/>
      </c>
      <c r="F472" s="29">
        <f>MAX(0,C472+D472-E472)</f>
        <v/>
      </c>
      <c r="G472" s="27">
        <f>J471</f>
        <v/>
      </c>
      <c r="H472" s="28">
        <f>IF(G472&gt;0,G472*Calculator!$C$8/100/12,0)</f>
        <v/>
      </c>
      <c r="I472" s="27">
        <f>IF(G472&lt;=0,0,MIN(G472+H472,Calculator!$C$15))</f>
        <v/>
      </c>
      <c r="J472" s="29">
        <f>MAX(0,G472+H472-I472)</f>
        <v/>
      </c>
    </row>
    <row r="473">
      <c r="A473" s="30" t="n">
        <v>466</v>
      </c>
      <c r="B473" s="31">
        <f>EDATE(Calculator!$C$12,465)</f>
        <v/>
      </c>
      <c r="C473" s="32">
        <f>F472</f>
        <v/>
      </c>
      <c r="D473" s="33">
        <f>IF(C473&gt;0,C473*Calculator!$C$8/100/12,0)</f>
        <v/>
      </c>
      <c r="E473" s="32">
        <f>IF(C473&lt;=0,0,MIN(C473+D473,Calculator!$C$14))</f>
        <v/>
      </c>
      <c r="F473" s="34">
        <f>MAX(0,C473+D473-E473)</f>
        <v/>
      </c>
      <c r="G473" s="32">
        <f>J472</f>
        <v/>
      </c>
      <c r="H473" s="33">
        <f>IF(G473&gt;0,G473*Calculator!$C$8/100/12,0)</f>
        <v/>
      </c>
      <c r="I473" s="32">
        <f>IF(G473&lt;=0,0,MIN(G473+H473,Calculator!$C$15))</f>
        <v/>
      </c>
      <c r="J473" s="34">
        <f>MAX(0,G473+H473-I473)</f>
        <v/>
      </c>
    </row>
    <row r="474">
      <c r="A474" s="25" t="n">
        <v>467</v>
      </c>
      <c r="B474" s="26">
        <f>EDATE(Calculator!$C$12,466)</f>
        <v/>
      </c>
      <c r="C474" s="27">
        <f>F473</f>
        <v/>
      </c>
      <c r="D474" s="28">
        <f>IF(C474&gt;0,C474*Calculator!$C$8/100/12,0)</f>
        <v/>
      </c>
      <c r="E474" s="27">
        <f>IF(C474&lt;=0,0,MIN(C474+D474,Calculator!$C$14))</f>
        <v/>
      </c>
      <c r="F474" s="29">
        <f>MAX(0,C474+D474-E474)</f>
        <v/>
      </c>
      <c r="G474" s="27">
        <f>J473</f>
        <v/>
      </c>
      <c r="H474" s="28">
        <f>IF(G474&gt;0,G474*Calculator!$C$8/100/12,0)</f>
        <v/>
      </c>
      <c r="I474" s="27">
        <f>IF(G474&lt;=0,0,MIN(G474+H474,Calculator!$C$15))</f>
        <v/>
      </c>
      <c r="J474" s="29">
        <f>MAX(0,G474+H474-I474)</f>
        <v/>
      </c>
    </row>
    <row r="475">
      <c r="A475" s="30" t="n">
        <v>468</v>
      </c>
      <c r="B475" s="31">
        <f>EDATE(Calculator!$C$12,467)</f>
        <v/>
      </c>
      <c r="C475" s="32">
        <f>F474</f>
        <v/>
      </c>
      <c r="D475" s="33">
        <f>IF(C475&gt;0,C475*Calculator!$C$8/100/12,0)</f>
        <v/>
      </c>
      <c r="E475" s="32">
        <f>IF(C475&lt;=0,0,MIN(C475+D475,Calculator!$C$14))</f>
        <v/>
      </c>
      <c r="F475" s="34">
        <f>MAX(0,C475+D475-E475)</f>
        <v/>
      </c>
      <c r="G475" s="32">
        <f>J474</f>
        <v/>
      </c>
      <c r="H475" s="33">
        <f>IF(G475&gt;0,G475*Calculator!$C$8/100/12,0)</f>
        <v/>
      </c>
      <c r="I475" s="32">
        <f>IF(G475&lt;=0,0,MIN(G475+H475,Calculator!$C$15))</f>
        <v/>
      </c>
      <c r="J475" s="34">
        <f>MAX(0,G475+H475-I475)</f>
        <v/>
      </c>
    </row>
    <row r="476">
      <c r="A476" s="25" t="n">
        <v>469</v>
      </c>
      <c r="B476" s="26">
        <f>EDATE(Calculator!$C$12,468)</f>
        <v/>
      </c>
      <c r="C476" s="27">
        <f>F475</f>
        <v/>
      </c>
      <c r="D476" s="28">
        <f>IF(C476&gt;0,C476*Calculator!$C$8/100/12,0)</f>
        <v/>
      </c>
      <c r="E476" s="27">
        <f>IF(C476&lt;=0,0,MIN(C476+D476,Calculator!$C$14))</f>
        <v/>
      </c>
      <c r="F476" s="29">
        <f>MAX(0,C476+D476-E476)</f>
        <v/>
      </c>
      <c r="G476" s="27">
        <f>J475</f>
        <v/>
      </c>
      <c r="H476" s="28">
        <f>IF(G476&gt;0,G476*Calculator!$C$8/100/12,0)</f>
        <v/>
      </c>
      <c r="I476" s="27">
        <f>IF(G476&lt;=0,0,MIN(G476+H476,Calculator!$C$15))</f>
        <v/>
      </c>
      <c r="J476" s="29">
        <f>MAX(0,G476+H476-I476)</f>
        <v/>
      </c>
    </row>
    <row r="477">
      <c r="A477" s="30" t="n">
        <v>470</v>
      </c>
      <c r="B477" s="31">
        <f>EDATE(Calculator!$C$12,469)</f>
        <v/>
      </c>
      <c r="C477" s="32">
        <f>F476</f>
        <v/>
      </c>
      <c r="D477" s="33">
        <f>IF(C477&gt;0,C477*Calculator!$C$8/100/12,0)</f>
        <v/>
      </c>
      <c r="E477" s="32">
        <f>IF(C477&lt;=0,0,MIN(C477+D477,Calculator!$C$14))</f>
        <v/>
      </c>
      <c r="F477" s="34">
        <f>MAX(0,C477+D477-E477)</f>
        <v/>
      </c>
      <c r="G477" s="32">
        <f>J476</f>
        <v/>
      </c>
      <c r="H477" s="33">
        <f>IF(G477&gt;0,G477*Calculator!$C$8/100/12,0)</f>
        <v/>
      </c>
      <c r="I477" s="32">
        <f>IF(G477&lt;=0,0,MIN(G477+H477,Calculator!$C$15))</f>
        <v/>
      </c>
      <c r="J477" s="34">
        <f>MAX(0,G477+H477-I477)</f>
        <v/>
      </c>
    </row>
    <row r="478">
      <c r="A478" s="25" t="n">
        <v>471</v>
      </c>
      <c r="B478" s="26">
        <f>EDATE(Calculator!$C$12,470)</f>
        <v/>
      </c>
      <c r="C478" s="27">
        <f>F477</f>
        <v/>
      </c>
      <c r="D478" s="28">
        <f>IF(C478&gt;0,C478*Calculator!$C$8/100/12,0)</f>
        <v/>
      </c>
      <c r="E478" s="27">
        <f>IF(C478&lt;=0,0,MIN(C478+D478,Calculator!$C$14))</f>
        <v/>
      </c>
      <c r="F478" s="29">
        <f>MAX(0,C478+D478-E478)</f>
        <v/>
      </c>
      <c r="G478" s="27">
        <f>J477</f>
        <v/>
      </c>
      <c r="H478" s="28">
        <f>IF(G478&gt;0,G478*Calculator!$C$8/100/12,0)</f>
        <v/>
      </c>
      <c r="I478" s="27">
        <f>IF(G478&lt;=0,0,MIN(G478+H478,Calculator!$C$15))</f>
        <v/>
      </c>
      <c r="J478" s="29">
        <f>MAX(0,G478+H478-I478)</f>
        <v/>
      </c>
    </row>
    <row r="479">
      <c r="A479" s="30" t="n">
        <v>472</v>
      </c>
      <c r="B479" s="31">
        <f>EDATE(Calculator!$C$12,471)</f>
        <v/>
      </c>
      <c r="C479" s="32">
        <f>F478</f>
        <v/>
      </c>
      <c r="D479" s="33">
        <f>IF(C479&gt;0,C479*Calculator!$C$8/100/12,0)</f>
        <v/>
      </c>
      <c r="E479" s="32">
        <f>IF(C479&lt;=0,0,MIN(C479+D479,Calculator!$C$14))</f>
        <v/>
      </c>
      <c r="F479" s="34">
        <f>MAX(0,C479+D479-E479)</f>
        <v/>
      </c>
      <c r="G479" s="32">
        <f>J478</f>
        <v/>
      </c>
      <c r="H479" s="33">
        <f>IF(G479&gt;0,G479*Calculator!$C$8/100/12,0)</f>
        <v/>
      </c>
      <c r="I479" s="32">
        <f>IF(G479&lt;=0,0,MIN(G479+H479,Calculator!$C$15))</f>
        <v/>
      </c>
      <c r="J479" s="34">
        <f>MAX(0,G479+H479-I479)</f>
        <v/>
      </c>
    </row>
    <row r="480">
      <c r="A480" s="25" t="n">
        <v>473</v>
      </c>
      <c r="B480" s="26">
        <f>EDATE(Calculator!$C$12,472)</f>
        <v/>
      </c>
      <c r="C480" s="27">
        <f>F479</f>
        <v/>
      </c>
      <c r="D480" s="28">
        <f>IF(C480&gt;0,C480*Calculator!$C$8/100/12,0)</f>
        <v/>
      </c>
      <c r="E480" s="27">
        <f>IF(C480&lt;=0,0,MIN(C480+D480,Calculator!$C$14))</f>
        <v/>
      </c>
      <c r="F480" s="29">
        <f>MAX(0,C480+D480-E480)</f>
        <v/>
      </c>
      <c r="G480" s="27">
        <f>J479</f>
        <v/>
      </c>
      <c r="H480" s="28">
        <f>IF(G480&gt;0,G480*Calculator!$C$8/100/12,0)</f>
        <v/>
      </c>
      <c r="I480" s="27">
        <f>IF(G480&lt;=0,0,MIN(G480+H480,Calculator!$C$15))</f>
        <v/>
      </c>
      <c r="J480" s="29">
        <f>MAX(0,G480+H480-I480)</f>
        <v/>
      </c>
    </row>
    <row r="481">
      <c r="A481" s="30" t="n">
        <v>474</v>
      </c>
      <c r="B481" s="31">
        <f>EDATE(Calculator!$C$12,473)</f>
        <v/>
      </c>
      <c r="C481" s="32">
        <f>F480</f>
        <v/>
      </c>
      <c r="D481" s="33">
        <f>IF(C481&gt;0,C481*Calculator!$C$8/100/12,0)</f>
        <v/>
      </c>
      <c r="E481" s="32">
        <f>IF(C481&lt;=0,0,MIN(C481+D481,Calculator!$C$14))</f>
        <v/>
      </c>
      <c r="F481" s="34">
        <f>MAX(0,C481+D481-E481)</f>
        <v/>
      </c>
      <c r="G481" s="32">
        <f>J480</f>
        <v/>
      </c>
      <c r="H481" s="33">
        <f>IF(G481&gt;0,G481*Calculator!$C$8/100/12,0)</f>
        <v/>
      </c>
      <c r="I481" s="32">
        <f>IF(G481&lt;=0,0,MIN(G481+H481,Calculator!$C$15))</f>
        <v/>
      </c>
      <c r="J481" s="34">
        <f>MAX(0,G481+H481-I481)</f>
        <v/>
      </c>
    </row>
    <row r="482">
      <c r="A482" s="25" t="n">
        <v>475</v>
      </c>
      <c r="B482" s="26">
        <f>EDATE(Calculator!$C$12,474)</f>
        <v/>
      </c>
      <c r="C482" s="27">
        <f>F481</f>
        <v/>
      </c>
      <c r="D482" s="28">
        <f>IF(C482&gt;0,C482*Calculator!$C$8/100/12,0)</f>
        <v/>
      </c>
      <c r="E482" s="27">
        <f>IF(C482&lt;=0,0,MIN(C482+D482,Calculator!$C$14))</f>
        <v/>
      </c>
      <c r="F482" s="29">
        <f>MAX(0,C482+D482-E482)</f>
        <v/>
      </c>
      <c r="G482" s="27">
        <f>J481</f>
        <v/>
      </c>
      <c r="H482" s="28">
        <f>IF(G482&gt;0,G482*Calculator!$C$8/100/12,0)</f>
        <v/>
      </c>
      <c r="I482" s="27">
        <f>IF(G482&lt;=0,0,MIN(G482+H482,Calculator!$C$15))</f>
        <v/>
      </c>
      <c r="J482" s="29">
        <f>MAX(0,G482+H482-I482)</f>
        <v/>
      </c>
    </row>
    <row r="483">
      <c r="A483" s="30" t="n">
        <v>476</v>
      </c>
      <c r="B483" s="31">
        <f>EDATE(Calculator!$C$12,475)</f>
        <v/>
      </c>
      <c r="C483" s="32">
        <f>F482</f>
        <v/>
      </c>
      <c r="D483" s="33">
        <f>IF(C483&gt;0,C483*Calculator!$C$8/100/12,0)</f>
        <v/>
      </c>
      <c r="E483" s="32">
        <f>IF(C483&lt;=0,0,MIN(C483+D483,Calculator!$C$14))</f>
        <v/>
      </c>
      <c r="F483" s="34">
        <f>MAX(0,C483+D483-E483)</f>
        <v/>
      </c>
      <c r="G483" s="32">
        <f>J482</f>
        <v/>
      </c>
      <c r="H483" s="33">
        <f>IF(G483&gt;0,G483*Calculator!$C$8/100/12,0)</f>
        <v/>
      </c>
      <c r="I483" s="32">
        <f>IF(G483&lt;=0,0,MIN(G483+H483,Calculator!$C$15))</f>
        <v/>
      </c>
      <c r="J483" s="34">
        <f>MAX(0,G483+H483-I483)</f>
        <v/>
      </c>
    </row>
    <row r="484">
      <c r="A484" s="25" t="n">
        <v>477</v>
      </c>
      <c r="B484" s="26">
        <f>EDATE(Calculator!$C$12,476)</f>
        <v/>
      </c>
      <c r="C484" s="27">
        <f>F483</f>
        <v/>
      </c>
      <c r="D484" s="28">
        <f>IF(C484&gt;0,C484*Calculator!$C$8/100/12,0)</f>
        <v/>
      </c>
      <c r="E484" s="27">
        <f>IF(C484&lt;=0,0,MIN(C484+D484,Calculator!$C$14))</f>
        <v/>
      </c>
      <c r="F484" s="29">
        <f>MAX(0,C484+D484-E484)</f>
        <v/>
      </c>
      <c r="G484" s="27">
        <f>J483</f>
        <v/>
      </c>
      <c r="H484" s="28">
        <f>IF(G484&gt;0,G484*Calculator!$C$8/100/12,0)</f>
        <v/>
      </c>
      <c r="I484" s="27">
        <f>IF(G484&lt;=0,0,MIN(G484+H484,Calculator!$C$15))</f>
        <v/>
      </c>
      <c r="J484" s="29">
        <f>MAX(0,G484+H484-I484)</f>
        <v/>
      </c>
    </row>
    <row r="485">
      <c r="A485" s="30" t="n">
        <v>478</v>
      </c>
      <c r="B485" s="31">
        <f>EDATE(Calculator!$C$12,477)</f>
        <v/>
      </c>
      <c r="C485" s="32">
        <f>F484</f>
        <v/>
      </c>
      <c r="D485" s="33">
        <f>IF(C485&gt;0,C485*Calculator!$C$8/100/12,0)</f>
        <v/>
      </c>
      <c r="E485" s="32">
        <f>IF(C485&lt;=0,0,MIN(C485+D485,Calculator!$C$14))</f>
        <v/>
      </c>
      <c r="F485" s="34">
        <f>MAX(0,C485+D485-E485)</f>
        <v/>
      </c>
      <c r="G485" s="32">
        <f>J484</f>
        <v/>
      </c>
      <c r="H485" s="33">
        <f>IF(G485&gt;0,G485*Calculator!$C$8/100/12,0)</f>
        <v/>
      </c>
      <c r="I485" s="32">
        <f>IF(G485&lt;=0,0,MIN(G485+H485,Calculator!$C$15))</f>
        <v/>
      </c>
      <c r="J485" s="34">
        <f>MAX(0,G485+H485-I485)</f>
        <v/>
      </c>
    </row>
    <row r="486">
      <c r="A486" s="25" t="n">
        <v>479</v>
      </c>
      <c r="B486" s="26">
        <f>EDATE(Calculator!$C$12,478)</f>
        <v/>
      </c>
      <c r="C486" s="27">
        <f>F485</f>
        <v/>
      </c>
      <c r="D486" s="28">
        <f>IF(C486&gt;0,C486*Calculator!$C$8/100/12,0)</f>
        <v/>
      </c>
      <c r="E486" s="27">
        <f>IF(C486&lt;=0,0,MIN(C486+D486,Calculator!$C$14))</f>
        <v/>
      </c>
      <c r="F486" s="29">
        <f>MAX(0,C486+D486-E486)</f>
        <v/>
      </c>
      <c r="G486" s="27">
        <f>J485</f>
        <v/>
      </c>
      <c r="H486" s="28">
        <f>IF(G486&gt;0,G486*Calculator!$C$8/100/12,0)</f>
        <v/>
      </c>
      <c r="I486" s="27">
        <f>IF(G486&lt;=0,0,MIN(G486+H486,Calculator!$C$15))</f>
        <v/>
      </c>
      <c r="J486" s="29">
        <f>MAX(0,G486+H486-I486)</f>
        <v/>
      </c>
    </row>
    <row r="487">
      <c r="A487" s="30" t="n">
        <v>480</v>
      </c>
      <c r="B487" s="31">
        <f>EDATE(Calculator!$C$12,479)</f>
        <v/>
      </c>
      <c r="C487" s="32">
        <f>F486</f>
        <v/>
      </c>
      <c r="D487" s="33">
        <f>IF(C487&gt;0,C487*Calculator!$C$8/100/12,0)</f>
        <v/>
      </c>
      <c r="E487" s="32">
        <f>IF(C487&lt;=0,0,MIN(C487+D487,Calculator!$C$14))</f>
        <v/>
      </c>
      <c r="F487" s="34">
        <f>MAX(0,C487+D487-E487)</f>
        <v/>
      </c>
      <c r="G487" s="32">
        <f>J486</f>
        <v/>
      </c>
      <c r="H487" s="33">
        <f>IF(G487&gt;0,G487*Calculator!$C$8/100/12,0)</f>
        <v/>
      </c>
      <c r="I487" s="32">
        <f>IF(G487&lt;=0,0,MIN(G487+H487,Calculator!$C$15))</f>
        <v/>
      </c>
      <c r="J487" s="34">
        <f>MAX(0,G487+H487-I487)</f>
        <v/>
      </c>
    </row>
  </sheetData>
  <mergeCells count="2">
    <mergeCell ref="C6:F6"/>
    <mergeCell ref="G6:J6"/>
  </mergeCells>
  <conditionalFormatting sqref="C8:F487">
    <cfRule type="expression" priority="1" dxfId="0">
      <formula>$C8&lt;=0</formula>
    </cfRule>
  </conditionalFormatting>
  <conditionalFormatting sqref="G8:J487">
    <cfRule type="expression" priority="2" dxfId="0">
      <formula>$G8&lt;=0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A1030"/>
    <outlinePr summaryBelow="1" summaryRight="1"/>
    <pageSetUpPr/>
  </sheetPr>
  <dimension ref="A1:H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90" customWidth="1" min="3" max="3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16" customHeight="1">
      <c r="A2" s="1" t="n"/>
      <c r="B2" s="2" t="inlineStr">
        <is>
          <t>[ DEBTLESS ]  START HERE</t>
        </is>
      </c>
      <c r="C2" s="1" t="n"/>
      <c r="D2" s="1" t="n"/>
      <c r="E2" s="1" t="n"/>
      <c r="F2" s="1" t="n"/>
      <c r="G2" s="1" t="n"/>
      <c r="H2" s="1" t="n"/>
    </row>
    <row r="3" ht="34" customHeight="1">
      <c r="A3" s="1" t="n"/>
      <c r="B3" s="3" t="inlineStr">
        <is>
          <t>One minute to set up.</t>
        </is>
      </c>
      <c r="C3" s="1" t="n"/>
      <c r="D3" s="1" t="n"/>
      <c r="E3" s="1" t="n"/>
      <c r="F3" s="1" t="n"/>
      <c r="G3" s="1" t="n"/>
      <c r="H3" s="1" t="n"/>
    </row>
    <row r="4" ht="20" customHeight="1">
      <c r="A4" s="1" t="n"/>
      <c r="B4" s="4" t="inlineStr"/>
      <c r="C4" s="1" t="n"/>
      <c r="D4" s="1" t="n"/>
      <c r="E4" s="1" t="n"/>
      <c r="F4" s="1" t="n"/>
      <c r="G4" s="1" t="n"/>
      <c r="H4" s="1" t="n"/>
    </row>
    <row r="6">
      <c r="B6" s="35" t="inlineStr">
        <is>
          <t>[ 01 ]</t>
        </is>
      </c>
      <c r="C6" s="36" t="inlineStr">
        <is>
          <t>Open it</t>
        </is>
      </c>
    </row>
    <row r="7" ht="30" customHeight="1">
      <c r="C7" s="37" t="inlineStr">
        <is>
          <t>Excel: double-click. Google Sheets: drag into Drive and open with Sheets, or File → Import.</t>
        </is>
      </c>
    </row>
    <row r="9">
      <c r="B9" s="35" t="inlineStr">
        <is>
          <t>[ 02 ]</t>
        </is>
      </c>
      <c r="C9" s="36" t="inlineStr">
        <is>
          <t>Fill the lavender cells</t>
        </is>
      </c>
    </row>
    <row r="10" ht="30" customHeight="1">
      <c r="C10" s="37" t="inlineStr">
        <is>
          <t>Balance, APR, months left, extra per month, and any lump sum. The regular payment is computed with PMT; overwrite it if your statement differs.</t>
        </is>
      </c>
    </row>
    <row r="12">
      <c r="B12" s="35" t="inlineStr">
        <is>
          <t>[ 03 ]</t>
        </is>
      </c>
      <c r="C12" s="36" t="inlineStr">
        <is>
          <t>Read the tiles</t>
        </is>
      </c>
    </row>
    <row r="13" ht="30" customHeight="1">
      <c r="C13" s="37" t="inlineStr">
        <is>
          <t>Payoff month, months sooner, interest saved and total paid, compared with the regular schedule.</t>
        </is>
      </c>
    </row>
    <row r="15">
      <c r="B15" s="35" t="inlineStr">
        <is>
          <t>[ 04 ]</t>
        </is>
      </c>
      <c r="C15" s="36" t="inlineStr">
        <is>
          <t>Check the Schedule</t>
        </is>
      </c>
    </row>
    <row r="16" ht="30" customHeight="1">
      <c r="C16" s="37" t="inlineStr">
        <is>
          <t>Both timelines month by month; finished months fade out.</t>
        </is>
      </c>
    </row>
    <row r="19">
      <c r="C19" s="38" t="inlineStr">
        <is>
          <t>Debtless tracks every loan and card on one plan and moves your debt-free date as you pay.</t>
        </is>
      </c>
    </row>
    <row r="20">
      <c r="C20" s="39" t="inlineStr">
        <is>
          <t>https://www.debtless.app</t>
        </is>
      </c>
    </row>
  </sheetData>
  <hyperlinks>
    <hyperlink xmlns:r="http://schemas.openxmlformats.org/officeDocument/2006/relationships" ref="C20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2026-09-14T22:05:42Z</dcterms:created>
  <dcterms:modified xsi:type="dcterms:W3CDTF">2026-09-14T22:05:42Z</dcterms:modified>
</cp:coreProperties>
</file>