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lan" sheetId="1" state="visible" r:id="rId1"/>
    <sheet name="Schedule" sheetId="2" state="visible" r:id="rId2"/>
    <sheet name="Minimums only" sheetId="3" state="visible" r:id="rId3"/>
    <sheet name="Payment log" sheetId="4" state="visible" r:id="rId4"/>
    <sheet name="How to use" sheetId="5" state="visible" r:id="rId5"/>
  </sheets>
  <definedNames>
    <definedName name="_xlnm.Print_Area" localSheetId="0">'Plan'!$A$1:$N$40</definedName>
  </definedNames>
  <calcPr calcId="124519" fullCalcOnLoad="1"/>
</workbook>
</file>

<file path=xl/styles.xml><?xml version="1.0" encoding="utf-8"?>
<styleSheet xmlns="http://schemas.openxmlformats.org/spreadsheetml/2006/main">
  <numFmts count="6">
    <numFmt numFmtId="164" formatCode="&quot;$&quot;#,##0.00"/>
    <numFmt numFmtId="165" formatCode="0.00&quot;%&quot;"/>
    <numFmt numFmtId="166" formatCode="mmm yyyy"/>
    <numFmt numFmtId="167" formatCode="mmm yy"/>
    <numFmt numFmtId="168" formatCode="&quot;$&quot;#,##0"/>
    <numFmt numFmtId="169" formatCode="yyyy-mm-dd"/>
  </numFmts>
  <fonts count="19">
    <font>
      <name val="Calibri"/>
      <family val="2"/>
      <color theme="1"/>
      <sz val="11"/>
      <scheme val="minor"/>
    </font>
    <font>
      <name val="Courier New"/>
      <b val="1"/>
      <color rgb="00C4A2FF"/>
      <sz val="9"/>
    </font>
    <font>
      <name val="Georgia"/>
      <color rgb="00F4F1F8"/>
      <sz val="24"/>
    </font>
    <font>
      <name val="Arial"/>
      <i val="1"/>
      <color rgb="00C4A2FF"/>
      <sz val="10"/>
    </font>
    <font>
      <name val="Courier New"/>
      <b val="1"/>
      <color rgb="006B3FD6"/>
      <sz val="8"/>
    </font>
    <font>
      <name val="Arial"/>
      <b val="1"/>
      <color rgb="00C4A2FF"/>
      <sz val="9"/>
    </font>
    <font>
      <name val="Arial"/>
      <color rgb="001A1030"/>
      <sz val="10"/>
    </font>
    <font>
      <name val="Arial"/>
      <b val="1"/>
      <color rgb="006B3FD6"/>
      <sz val="10"/>
    </font>
    <font>
      <name val="Arial"/>
      <b val="1"/>
      <color rgb="001A1030"/>
      <sz val="10"/>
    </font>
    <font>
      <name val="Arial"/>
      <b val="1"/>
      <color rgb="00C4A2FF"/>
      <sz val="10"/>
    </font>
    <font>
      <name val="Arial"/>
      <b val="1"/>
      <color rgb="00F4F1F8"/>
      <sz val="10"/>
    </font>
    <font>
      <name val="Arial"/>
      <color rgb="006B6580"/>
      <sz val="10"/>
    </font>
    <font>
      <name val="Arial"/>
      <color rgb="00BBB7C7"/>
      <sz val="8"/>
    </font>
    <font>
      <name val="Courier New"/>
      <b val="1"/>
      <color rgb="006B6580"/>
      <sz val="8"/>
    </font>
    <font>
      <name val="Arial"/>
      <b val="1"/>
      <color rgb="001A1030"/>
      <sz val="20"/>
    </font>
    <font>
      <name val="Arial"/>
      <color rgb="006B6580"/>
      <sz val="8"/>
    </font>
    <font>
      <name val="Courier New"/>
      <b val="1"/>
      <color rgb="006B3FD6"/>
      <sz val="9"/>
    </font>
    <font>
      <name val="Arial"/>
      <b val="1"/>
      <color rgb="001A1030"/>
      <sz val="13"/>
    </font>
    <font>
      <name val="Arial"/>
      <i val="1"/>
      <color rgb="001A1030"/>
      <sz val="10"/>
    </font>
  </fonts>
  <fills count="8">
    <fill>
      <patternFill/>
    </fill>
    <fill>
      <patternFill patternType="gray125"/>
    </fill>
    <fill>
      <patternFill patternType="solid">
        <fgColor rgb="001A1030"/>
      </patternFill>
    </fill>
    <fill>
      <patternFill patternType="solid">
        <fgColor rgb="00EFE9FF"/>
      </patternFill>
    </fill>
    <fill>
      <patternFill patternType="solid">
        <fgColor rgb="00FFFFFF"/>
      </patternFill>
    </fill>
    <fill>
      <patternFill patternType="solid">
        <fgColor rgb="00F8F6FC"/>
      </patternFill>
    </fill>
    <fill>
      <patternFill patternType="solid">
        <fgColor rgb="002A1A40"/>
      </patternFill>
    </fill>
    <fill>
      <patternFill patternType="solid">
        <fgColor rgb="006B3FD6"/>
      </patternFill>
    </fill>
  </fills>
  <borders count="19">
    <border>
      <left/>
      <right/>
      <top/>
      <bottom/>
      <diagonal/>
    </border>
    <border>
      <left style="thin">
        <color rgb="00D9D4E6"/>
      </left>
      <right style="thin">
        <color rgb="00D9D4E6"/>
      </right>
      <top style="thin">
        <color rgb="00D9D4E6"/>
      </top>
      <bottom style="thin">
        <color rgb="00D9D4E6"/>
      </bottom>
    </border>
    <border>
      <bottom style="thin">
        <color rgb="00D9D4E6"/>
      </bottom>
    </border>
    <border>
      <bottom style="hair">
        <color rgb="00D9D4E6"/>
      </bottom>
    </border>
    <border>
      <top style="thin">
        <color rgb="00D9D4E6"/>
      </top>
    </border>
    <border>
      <left style="thin">
        <color rgb="00D9D4E6"/>
      </left>
      <top style="thin">
        <color rgb="00D9D4E6"/>
      </top>
    </border>
    <border>
      <left style="thin">
        <color rgb="00D9D4E6"/>
      </left>
    </border>
    <border>
      <left style="thin">
        <color rgb="00D9D4E6"/>
      </left>
      <bottom style="thin">
        <color rgb="00D9D4E6"/>
      </bottom>
    </border>
    <border>
      <right style="thin">
        <color rgb="00D9D4E6"/>
      </right>
      <top style="thin">
        <color rgb="00D9D4E6"/>
      </top>
    </border>
    <border>
      <right style="thin">
        <color rgb="00D9D4E6"/>
      </right>
    </border>
    <border>
      <right style="thin">
        <color rgb="00D9D4E6"/>
      </right>
      <bottom style="thin">
        <color rgb="00D9D4E6"/>
      </bottom>
    </border>
    <border>
      <left style="thin">
        <color rgb="00D9D4E6"/>
      </left>
      <right style="thin">
        <color rgb="00D9D4E6"/>
      </right>
      <top style="thin">
        <color rgb="00D9D4E6"/>
      </top>
    </border>
    <border>
      <left/>
      <right/>
      <top style="thin">
        <color rgb="00D9D4E6"/>
      </top>
      <bottom/>
      <diagonal/>
    </border>
    <border>
      <left/>
      <right style="thin">
        <color rgb="00D9D4E6"/>
      </right>
      <top style="thin">
        <color rgb="00D9D4E6"/>
      </top>
      <bottom/>
      <diagonal/>
    </border>
    <border>
      <left style="thin">
        <color rgb="00D9D4E6"/>
      </left>
      <right style="thin">
        <color rgb="00D9D4E6"/>
      </right>
    </border>
    <border>
      <left/>
      <right style="thin">
        <color rgb="00D9D4E6"/>
      </right>
      <top/>
      <bottom/>
      <diagonal/>
    </border>
    <border>
      <left style="thin">
        <color rgb="00D9D4E6"/>
      </left>
      <right style="thin">
        <color rgb="00D9D4E6"/>
      </right>
      <bottom style="thin">
        <color rgb="00D9D4E6"/>
      </bottom>
    </border>
    <border>
      <left/>
      <right style="thin">
        <color rgb="00D9D4E6"/>
      </right>
      <top/>
      <bottom style="thin">
        <color rgb="00D9D4E6"/>
      </bottom>
      <diagonal/>
    </border>
    <border>
      <left/>
      <right/>
      <top/>
      <bottom style="thin">
        <color rgb="00D9D4E6"/>
      </bottom>
      <diagonal/>
    </border>
  </borders>
  <cellStyleXfs count="1">
    <xf numFmtId="0" fontId="0" fillId="0" borderId="0"/>
  </cellStyleXfs>
  <cellXfs count="59">
    <xf numFmtId="0" fontId="0" fillId="0" borderId="0" pivotButton="0" quotePrefix="0" xfId="0"/>
    <xf numFmtId="0" fontId="0" fillId="2"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0" borderId="0" pivotButton="0" quotePrefix="0" xfId="0"/>
    <xf numFmtId="0" fontId="5" fillId="2" borderId="1" applyAlignment="1" pivotButton="0" quotePrefix="0" xfId="0">
      <alignment horizontal="left" vertical="center" wrapText="1"/>
    </xf>
    <xf numFmtId="0" fontId="5" fillId="2" borderId="1" applyAlignment="1" pivotButton="0" quotePrefix="0" xfId="0">
      <alignment horizontal="center" vertical="center" wrapText="1"/>
    </xf>
    <xf numFmtId="0" fontId="13" fillId="4" borderId="11" applyAlignment="1" pivotButton="0" quotePrefix="0" xfId="0">
      <alignment vertical="center" indent="1"/>
    </xf>
    <xf numFmtId="0" fontId="0" fillId="0" borderId="13" pivotButton="0" quotePrefix="0" xfId="0"/>
    <xf numFmtId="0" fontId="6" fillId="3" borderId="1" pivotButton="0" quotePrefix="0" xfId="0"/>
    <xf numFmtId="164" fontId="6" fillId="3" borderId="1" pivotButton="0" quotePrefix="0" xfId="0"/>
    <xf numFmtId="165" fontId="6" fillId="3" borderId="1" applyAlignment="1" pivotButton="0" quotePrefix="0" xfId="0">
      <alignment horizontal="center" vertical="center"/>
    </xf>
    <xf numFmtId="0" fontId="7" fillId="4" borderId="1" applyAlignment="1" pivotButton="0" quotePrefix="0" xfId="0">
      <alignment horizontal="center" vertical="center"/>
    </xf>
    <xf numFmtId="166" fontId="14" fillId="4" borderId="14" applyAlignment="1" pivotButton="0" quotePrefix="0" xfId="0">
      <alignment vertical="center" indent="1"/>
    </xf>
    <xf numFmtId="0" fontId="0" fillId="0" borderId="15" pivotButton="0" quotePrefix="0" xfId="0"/>
    <xf numFmtId="1" fontId="14" fillId="4" borderId="14" applyAlignment="1" pivotButton="0" quotePrefix="0" xfId="0">
      <alignment vertical="center" indent="1"/>
    </xf>
    <xf numFmtId="0" fontId="15" fillId="4" borderId="16" applyAlignment="1" pivotButton="0" quotePrefix="0" xfId="0">
      <alignment vertical="center" indent="1"/>
    </xf>
    <xf numFmtId="0" fontId="0" fillId="0" borderId="17" pivotButton="0" quotePrefix="0" xfId="0"/>
    <xf numFmtId="168" fontId="14" fillId="4" borderId="14" applyAlignment="1" pivotButton="0" quotePrefix="0" xfId="0">
      <alignment vertical="center" indent="1"/>
    </xf>
    <xf numFmtId="0" fontId="8" fillId="5" borderId="1" pivotButton="0" quotePrefix="0" xfId="0"/>
    <xf numFmtId="164" fontId="8" fillId="5" borderId="1" pivotButton="0" quotePrefix="0" xfId="0"/>
    <xf numFmtId="0" fontId="6" fillId="5" borderId="1" pivotButton="0" quotePrefix="0" xfId="0"/>
    <xf numFmtId="0" fontId="0" fillId="0" borderId="12" pivotButton="0" quotePrefix="0" xfId="0"/>
    <xf numFmtId="0" fontId="6" fillId="0" borderId="2" pivotButton="0" quotePrefix="0" xfId="0"/>
    <xf numFmtId="0" fontId="0" fillId="0" borderId="18" pivotButton="0" quotePrefix="0" xfId="0"/>
    <xf numFmtId="166" fontId="6" fillId="3" borderId="1" applyAlignment="1" pivotButton="0" quotePrefix="0" xfId="0">
      <alignment horizontal="center" vertical="center"/>
    </xf>
    <xf numFmtId="164" fontId="7" fillId="4" borderId="1" pivotButton="0" quotePrefix="0" xfId="0"/>
    <xf numFmtId="0" fontId="6" fillId="4" borderId="1" pivotButton="0" quotePrefix="0" xfId="0"/>
    <xf numFmtId="164" fontId="6" fillId="4" borderId="1" pivotButton="0" quotePrefix="0" xfId="0"/>
    <xf numFmtId="165" fontId="6" fillId="4" borderId="1" applyAlignment="1" pivotButton="0" quotePrefix="0" xfId="0">
      <alignment horizontal="center" vertical="center"/>
    </xf>
    <xf numFmtId="164" fontId="6" fillId="5" borderId="1" pivotButton="0" quotePrefix="0" xfId="0"/>
    <xf numFmtId="165" fontId="6" fillId="5" borderId="1" applyAlignment="1" pivotButton="0" quotePrefix="0" xfId="0">
      <alignment horizontal="center" vertical="center"/>
    </xf>
    <xf numFmtId="0" fontId="7" fillId="5" borderId="1" applyAlignment="1" pivotButton="0" quotePrefix="0" xfId="0">
      <alignment horizontal="center" vertical="center"/>
    </xf>
    <xf numFmtId="0" fontId="6" fillId="0" borderId="1" pivotButton="0" quotePrefix="0" xfId="0"/>
    <xf numFmtId="0" fontId="10" fillId="6" borderId="0" applyAlignment="1" pivotButton="0" quotePrefix="0" xfId="0">
      <alignment horizontal="center"/>
    </xf>
    <xf numFmtId="0" fontId="0" fillId="6" borderId="0" pivotButton="0" quotePrefix="0" xfId="0"/>
    <xf numFmtId="0" fontId="10" fillId="7" borderId="0" applyAlignment="1" pivotButton="0" quotePrefix="0" xfId="0">
      <alignment horizontal="center"/>
    </xf>
    <xf numFmtId="0" fontId="0" fillId="7" borderId="0" pivotButton="0" quotePrefix="0" xfId="0"/>
    <xf numFmtId="0" fontId="9" fillId="2" borderId="1" applyAlignment="1" pivotButton="0" quotePrefix="0" xfId="0">
      <alignment horizontal="center" vertical="center"/>
    </xf>
    <xf numFmtId="0" fontId="11" fillId="4" borderId="3" applyAlignment="1" pivotButton="0" quotePrefix="0" xfId="0">
      <alignment horizontal="center" vertical="center"/>
    </xf>
    <xf numFmtId="167" fontId="11" fillId="4" borderId="3" applyAlignment="1" pivotButton="0" quotePrefix="0" xfId="0">
      <alignment horizontal="center" vertical="center"/>
    </xf>
    <xf numFmtId="164" fontId="6" fillId="4" borderId="3" pivotButton="0" quotePrefix="0" xfId="0"/>
    <xf numFmtId="164" fontId="11" fillId="4" borderId="3" pivotButton="0" quotePrefix="0" xfId="0"/>
    <xf numFmtId="164" fontId="8" fillId="4" borderId="3" pivotButton="0" quotePrefix="0" xfId="0"/>
    <xf numFmtId="164" fontId="12" fillId="4" borderId="3" pivotButton="0" quotePrefix="0" xfId="0"/>
    <xf numFmtId="0" fontId="11" fillId="5" borderId="3" applyAlignment="1" pivotButton="0" quotePrefix="0" xfId="0">
      <alignment horizontal="center" vertical="center"/>
    </xf>
    <xf numFmtId="167" fontId="11" fillId="5" borderId="3" applyAlignment="1" pivotButton="0" quotePrefix="0" xfId="0">
      <alignment horizontal="center" vertical="center"/>
    </xf>
    <xf numFmtId="164" fontId="6" fillId="5" borderId="3" pivotButton="0" quotePrefix="0" xfId="0"/>
    <xf numFmtId="164" fontId="11" fillId="5" borderId="3" pivotButton="0" quotePrefix="0" xfId="0"/>
    <xf numFmtId="164" fontId="8" fillId="5" borderId="3" pivotButton="0" quotePrefix="0" xfId="0"/>
    <xf numFmtId="164" fontId="12" fillId="5" borderId="3" pivotButton="0" quotePrefix="0" xfId="0"/>
    <xf numFmtId="169" fontId="6" fillId="3" borderId="1" applyAlignment="1" pivotButton="0" quotePrefix="0" xfId="0">
      <alignment horizontal="center" vertical="center"/>
    </xf>
    <xf numFmtId="164" fontId="7" fillId="5" borderId="1" pivotButton="0" quotePrefix="0" xfId="0"/>
    <xf numFmtId="0" fontId="16" fillId="0" borderId="0" pivotButton="0" quotePrefix="0" xfId="0"/>
    <xf numFmtId="0" fontId="17" fillId="0" borderId="0" pivotButton="0" quotePrefix="0" xfId="0"/>
    <xf numFmtId="0" fontId="11" fillId="0" borderId="0" applyAlignment="1" pivotButton="0" quotePrefix="0" xfId="0">
      <alignment vertical="top" wrapText="1"/>
    </xf>
    <xf numFmtId="0" fontId="18" fillId="0" borderId="0" pivotButton="0" quotePrefix="0" xfId="0"/>
    <xf numFmtId="0" fontId="7" fillId="0" borderId="0" pivotButton="0" quotePrefix="0" xfId="0"/>
  </cellXfs>
  <cellStyles count="1">
    <cellStyle name="Normal" xfId="0" builtinId="0" hidden="0"/>
  </cellStyles>
  <dxfs count="3">
    <dxf>
      <font>
        <color rgb="00BBB7C7"/>
      </font>
    </dxf>
    <dxf>
      <font>
        <b val="1"/>
        <color rgb="006B3FD6"/>
      </font>
      <fill>
        <patternFill patternType="solid">
          <fgColor rgb="00EFE9FF"/>
        </patternFill>
      </fill>
    </dxf>
    <dxf>
      <font>
        <color rgb="00D5D1DF"/>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chart>
    <plotArea>
      <lineChart>
        <grouping val="standard"/>
        <ser>
          <idx val="0"/>
          <order val="0"/>
          <tx>
            <v>Minimums only</v>
          </tx>
          <spPr>
            <a:ln w="18000">
              <a:solidFill>
                <a:srgbClr val="9A93AD"/>
              </a:solidFill>
              <a:prstDash val="dash"/>
            </a:ln>
          </spPr>
          <marker>
            <symbol val="none"/>
            <spPr>
              <a:ln>
                <a:prstDash val="solid"/>
              </a:ln>
            </spPr>
          </marker>
          <cat>
            <numRef>
              <f>'Schedule'!$A$8:$A$247</f>
            </numRef>
          </cat>
          <val>
            <numRef>
              <f>'Minimums only'!$AA$8:$AA$247</f>
            </numRef>
          </val>
          <smooth val="0"/>
        </ser>
        <ser>
          <idx val="1"/>
          <order val="1"/>
          <tx>
            <v>Your plan</v>
          </tx>
          <spPr>
            <a:ln w="28000">
              <a:solidFill>
                <a:srgbClr val="6B3FD6"/>
              </a:solidFill>
              <a:prstDash val="solid"/>
            </a:ln>
          </spPr>
          <marker>
            <symbol val="none"/>
            <spPr>
              <a:ln>
                <a:prstDash val="solid"/>
              </a:ln>
            </spPr>
          </marker>
          <cat>
            <numRef>
              <f>'Schedule'!$A$8:$A$247</f>
            </numRef>
          </cat>
          <val>
            <numRef>
              <f>'Schedule'!$AG$8:$AG$247</f>
            </numRef>
          </val>
          <smooth val="0"/>
        </ser>
        <axId val="10"/>
        <axId val="100"/>
      </lineChart>
      <catAx>
        <axId val="10"/>
        <scaling>
          <orientation val="minMax"/>
        </scaling>
        <axPos val="l"/>
        <title>
          <tx>
            <rich>
              <a:bodyPr/>
              <a:p>
                <a:pPr>
                  <a:defRPr/>
                </a:pPr>
                <a:r>
                  <a:t>Month</a:t>
                </a:r>
              </a:p>
            </rich>
          </tx>
        </title>
        <majorTickMark val="none"/>
        <minorTickMark val="none"/>
        <crossAx val="100"/>
        <lblOffset val="100"/>
        <tickLblSkip val="12"/>
        <tickMarkSkip val="12"/>
      </catAx>
      <valAx>
        <axId val="100"/>
        <scaling>
          <orientation val="minMax"/>
        </scaling>
        <axPos val="l"/>
        <majorGridlines>
          <spPr>
            <a:ln>
              <a:solidFill>
                <a:srgbClr val="EEEAF5"/>
              </a:solidFill>
              <a:prstDash val="solid"/>
            </a:ln>
          </spPr>
        </majorGridlines>
        <numFmt formatCode="&quot;$&quot;#,##0" sourceLinked="0"/>
        <majorTickMark val="none"/>
        <minorTickMark val="none"/>
        <crossAx val="10"/>
      </valAx>
    </plotArea>
    <legend>
      <legendPos val="b"/>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8</col>
      <colOff>0</colOff>
      <row>21</row>
      <rowOff>0</rowOff>
    </from>
    <ext cx="5580000" cy="28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5.xml.rels><Relationships xmlns="http://schemas.openxmlformats.org/package/2006/relationships"><Relationship Type="http://schemas.openxmlformats.org/officeDocument/2006/relationships/hyperlink" Target="https://www.debtless.app" TargetMode="External" Id="rId1" /></Relationships>
</file>

<file path=xl/worksheets/sheet1.xml><?xml version="1.0" encoding="utf-8"?>
<worksheet xmlns="http://schemas.openxmlformats.org/spreadsheetml/2006/main">
  <sheetPr>
    <tabColor rgb="006B3FD6"/>
    <outlinePr summaryBelow="1" summaryRight="1"/>
    <pageSetUpPr fitToPage="1"/>
  </sheetPr>
  <dimension ref="A1:N28"/>
  <sheetViews>
    <sheetView showGridLines="0" workbookViewId="0">
      <pane ySplit="5" topLeftCell="A6" activePane="bottomLeft" state="frozen"/>
      <selection pane="bottomLeft" activeCell="A1" sqref="A1"/>
    </sheetView>
  </sheetViews>
  <sheetFormatPr baseColWidth="8" defaultRowHeight="15"/>
  <cols>
    <col width="2" customWidth="1" min="1" max="1"/>
    <col width="22" customWidth="1" min="2" max="2"/>
    <col width="14" customWidth="1" min="3" max="3"/>
    <col width="10" customWidth="1" min="4" max="4"/>
    <col width="14" customWidth="1" min="5" max="5"/>
    <col width="11" customWidth="1" min="6" max="6"/>
    <col width="3" customWidth="1" min="7" max="7"/>
    <col width="2" customWidth="1" min="8" max="8"/>
    <col width="13" customWidth="1" min="9" max="9"/>
    <col width="13" customWidth="1" min="10" max="10"/>
    <col width="3" customWidth="1" min="11" max="11"/>
    <col width="13" customWidth="1" min="12" max="12"/>
    <col width="13" customWidth="1" min="13" max="13"/>
    <col width="2" customWidth="1" min="14" max="14"/>
  </cols>
  <sheetData>
    <row r="1" ht="10" customHeight="1">
      <c r="A1" s="1" t="n"/>
      <c r="B1" s="1" t="n"/>
      <c r="C1" s="1" t="n"/>
      <c r="D1" s="1" t="n"/>
      <c r="E1" s="1" t="n"/>
      <c r="F1" s="1" t="n"/>
      <c r="G1" s="1" t="n"/>
      <c r="H1" s="1" t="n"/>
      <c r="I1" s="1" t="n"/>
      <c r="J1" s="1" t="n"/>
      <c r="K1" s="1" t="n"/>
      <c r="L1" s="1" t="n"/>
      <c r="M1" s="1" t="n"/>
      <c r="N1" s="1" t="n"/>
    </row>
    <row r="2" ht="16" customHeight="1">
      <c r="A2" s="1" t="n"/>
      <c r="B2" s="2" t="inlineStr">
        <is>
          <t>[ DEBTLESS ]  DEBT SNOWBALL PLAN</t>
        </is>
      </c>
      <c r="C2" s="1" t="n"/>
      <c r="D2" s="1" t="n"/>
      <c r="E2" s="1" t="n"/>
      <c r="F2" s="1" t="n"/>
      <c r="G2" s="1" t="n"/>
      <c r="H2" s="1" t="n"/>
      <c r="I2" s="1" t="n"/>
      <c r="J2" s="1" t="n"/>
      <c r="K2" s="1" t="n"/>
      <c r="L2" s="1" t="n"/>
      <c r="M2" s="1" t="n"/>
      <c r="N2" s="1" t="n"/>
    </row>
    <row r="3" ht="34" customHeight="1">
      <c r="A3" s="1" t="n"/>
      <c r="B3" s="3" t="inlineStr">
        <is>
          <t>Smallest balance first.</t>
        </is>
      </c>
      <c r="C3" s="1" t="n"/>
      <c r="D3" s="1" t="n"/>
      <c r="E3" s="1" t="n"/>
      <c r="F3" s="1" t="n"/>
      <c r="G3" s="1" t="n"/>
      <c r="H3" s="1" t="n"/>
      <c r="I3" s="1" t="n"/>
      <c r="J3" s="1" t="n"/>
      <c r="K3" s="1" t="n"/>
      <c r="L3" s="1" t="n"/>
      <c r="M3" s="1" t="n"/>
      <c r="N3" s="1" t="n"/>
    </row>
    <row r="4" ht="20" customHeight="1">
      <c r="A4" s="1" t="n"/>
      <c r="B4" s="4" t="inlineStr">
        <is>
          <t>Edit the lavender cells. Everything else updates itself.</t>
        </is>
      </c>
      <c r="C4" s="1" t="n"/>
      <c r="D4" s="1" t="n"/>
      <c r="E4" s="1" t="n"/>
      <c r="F4" s="1" t="n"/>
      <c r="G4" s="1" t="n"/>
      <c r="H4" s="1" t="n"/>
      <c r="I4" s="1" t="n"/>
      <c r="J4" s="1" t="n"/>
      <c r="K4" s="1" t="n"/>
      <c r="L4" s="1" t="n"/>
      <c r="M4" s="1" t="n"/>
      <c r="N4" s="1" t="n"/>
    </row>
    <row r="6">
      <c r="B6" s="5" t="inlineStr">
        <is>
          <t>► YOUR DEBTS</t>
        </is>
      </c>
      <c r="I6" s="5" t="inlineStr">
        <is>
          <t>► YOUR PLAN</t>
        </is>
      </c>
    </row>
    <row r="7" ht="16" customHeight="1">
      <c r="B7" s="6" t="inlineStr">
        <is>
          <t>Debt</t>
        </is>
      </c>
      <c r="C7" s="7" t="inlineStr">
        <is>
          <t>Balance</t>
        </is>
      </c>
      <c r="D7" s="7" t="inlineStr">
        <is>
          <t>APR %</t>
        </is>
      </c>
      <c r="E7" s="7" t="inlineStr">
        <is>
          <t>Minimum / mo</t>
        </is>
      </c>
      <c r="F7" s="7" t="inlineStr">
        <is>
          <t>Payoff order</t>
        </is>
      </c>
      <c r="I7" s="8" t="inlineStr">
        <is>
          <t>► DEBT-FREE</t>
        </is>
      </c>
      <c r="J7" s="9" t="n"/>
      <c r="L7" s="8" t="inlineStr">
        <is>
          <t>► MONTHS TO ZERO</t>
        </is>
      </c>
      <c r="M7" s="9" t="n"/>
    </row>
    <row r="8" ht="30" customHeight="1">
      <c r="B8" s="10" t="inlineStr">
        <is>
          <t>Store card</t>
        </is>
      </c>
      <c r="C8" s="11" t="n">
        <v>1200</v>
      </c>
      <c r="D8" s="12" t="n">
        <v>19.99</v>
      </c>
      <c r="E8" s="11" t="n">
        <v>45</v>
      </c>
      <c r="F8" s="13">
        <f>IF(C8&gt;0,COUNTIFS($C$8:$C$13,"&gt;0",$C$8:$C$13,"&lt;"&amp;C8)+COUNTIFS($C$8:C8,"&gt;0",$C$8:C8,C8),"")</f>
        <v/>
      </c>
      <c r="I8" s="14">
        <f>EDATE(C18,IF(C14&gt;0,COUNTIF(Schedule!AG8:AG247,"&gt;0.005")+1,0))</f>
        <v/>
      </c>
      <c r="J8" s="15" t="n"/>
      <c r="L8" s="16">
        <f>IF(C14&gt;0,COUNTIF(Schedule!AG8:AG247,"&gt;0.005")+1,0)</f>
        <v/>
      </c>
      <c r="M8" s="15" t="n"/>
    </row>
    <row r="9" ht="16" customHeight="1">
      <c r="B9" s="10" t="inlineStr">
        <is>
          <t>Credit card</t>
        </is>
      </c>
      <c r="C9" s="11" t="n">
        <v>6400</v>
      </c>
      <c r="D9" s="12" t="n">
        <v>26.99</v>
      </c>
      <c r="E9" s="11" t="n">
        <v>190</v>
      </c>
      <c r="F9" s="13">
        <f>IF(C9&gt;0,COUNTIFS($C$8:$C$13,"&gt;0",$C$8:$C$13,"&lt;"&amp;C9)+COUNTIFS($C$8:C9,"&gt;0",$C$8:C9,C9),"")</f>
        <v/>
      </c>
      <c r="I9" s="17" t="inlineStr">
        <is>
          <t>the month your last balance hits zero</t>
        </is>
      </c>
      <c r="J9" s="18" t="n"/>
      <c r="L9" s="17">
        <f>IF(IF(C14&gt;0,COUNTIF(Schedule!AG8:AG247,"&gt;0.005")+1,0)&gt;=240,"more than 20 years: raise the extra",IF(IF(C14&gt;0,COUNTIF('Minimums only'!AA8:AA247,"&gt;0.005")+1,0)&gt;=240,"minimums alone never finish","minimums alone: "&amp;IF(C14&gt;0,COUNTIF('Minimums only'!AA8:AA247,"&gt;0.005")+1,0)&amp;" months"))</f>
        <v/>
      </c>
      <c r="M9" s="18" t="n"/>
    </row>
    <row r="10" ht="20" customHeight="1">
      <c r="B10" s="10" t="inlineStr">
        <is>
          <t>Car loan</t>
        </is>
      </c>
      <c r="C10" s="11" t="n">
        <v>9800</v>
      </c>
      <c r="D10" s="12" t="n">
        <v>7.5</v>
      </c>
      <c r="E10" s="11" t="n">
        <v>290</v>
      </c>
      <c r="F10" s="13">
        <f>IF(C10&gt;0,COUNTIFS($C$8:$C$13,"&gt;0",$C$8:$C$13,"&lt;"&amp;C10)+COUNTIFS($C$8:C10,"&gt;0",$C$8:C10,C10),"")</f>
        <v/>
      </c>
    </row>
    <row r="11" ht="16" customHeight="1">
      <c r="B11" s="10" t="inlineStr"/>
      <c r="C11" s="11" t="n"/>
      <c r="D11" s="12" t="n"/>
      <c r="E11" s="11" t="n"/>
      <c r="F11" s="13">
        <f>IF(C11&gt;0,COUNTIFS($C$8:$C$13,"&gt;0",$C$8:$C$13,"&lt;"&amp;C11)+COUNTIFS($C$8:C11,"&gt;0",$C$8:C11,C11),"")</f>
        <v/>
      </c>
      <c r="I11" s="8" t="inlineStr">
        <is>
          <t>► TOTAL INTEREST</t>
        </is>
      </c>
      <c r="J11" s="9" t="n"/>
      <c r="L11" s="8" t="inlineStr">
        <is>
          <t>► INTEREST AVOIDED</t>
        </is>
      </c>
      <c r="M11" s="9" t="n"/>
    </row>
    <row r="12" ht="30" customHeight="1">
      <c r="B12" s="10" t="inlineStr"/>
      <c r="C12" s="11" t="n"/>
      <c r="D12" s="12" t="n"/>
      <c r="E12" s="11" t="n"/>
      <c r="F12" s="13">
        <f>IF(C12&gt;0,COUNTIFS($C$8:$C$13,"&gt;0",$C$8:$C$13,"&lt;"&amp;C12)+COUNTIFS($C$8:C12,"&gt;0",$C$8:C12,C12),"")</f>
        <v/>
      </c>
      <c r="I12" s="19">
        <f>SUM(Schedule!D8:D247,Schedule!I8:I247,Schedule!N8:N247,Schedule!S8:S247,Schedule!X8:X247,Schedule!AC8:AC247)</f>
        <v/>
      </c>
      <c r="J12" s="15" t="n"/>
      <c r="L12" s="19">
        <f>MAX(0,SUM('Minimums only'!D8:D247,'Minimums only'!H8:H247,'Minimums only'!L8:L247,'Minimums only'!P8:P247,'Minimums only'!T8:T247,'Minimums only'!X8:X247)-SUM(Schedule!D8:D247,Schedule!I8:I247,Schedule!N8:N247,Schedule!S8:S247,Schedule!X8:X247,Schedule!AC8:AC247))</f>
        <v/>
      </c>
      <c r="M12" s="15" t="n"/>
    </row>
    <row r="13" ht="16" customHeight="1">
      <c r="B13" s="10" t="inlineStr"/>
      <c r="C13" s="11" t="n"/>
      <c r="D13" s="12" t="n"/>
      <c r="E13" s="11" t="n"/>
      <c r="F13" s="13">
        <f>IF(C13&gt;0,COUNTIFS($C$8:$C$13,"&gt;0",$C$8:$C$13,"&lt;"&amp;C13)+COUNTIFS($C$8:C13,"&gt;0",$C$8:C13,C13),"")</f>
        <v/>
      </c>
      <c r="I13" s="17" t="inlineStr">
        <is>
          <t>paid over the whole plan</t>
        </is>
      </c>
      <c r="J13" s="18" t="n"/>
      <c r="L13" s="17" t="inlineStr">
        <is>
          <t>compared with paying only minimums</t>
        </is>
      </c>
      <c r="M13" s="18" t="n"/>
    </row>
    <row r="14">
      <c r="B14" s="20" t="inlineStr">
        <is>
          <t>Totals</t>
        </is>
      </c>
      <c r="C14" s="21">
        <f>SUM(C8:C13)</f>
        <v/>
      </c>
      <c r="D14" s="22" t="n"/>
      <c r="E14" s="21">
        <f>SUM(E8:E13)</f>
        <v/>
      </c>
      <c r="F14" s="22" t="n"/>
    </row>
    <row r="15" ht="16" customHeight="1">
      <c r="I15" s="8" t="inlineStr">
        <is>
          <t>► MONTHLY BUDGET</t>
        </is>
      </c>
      <c r="J15" s="23" t="n"/>
      <c r="K15" s="23" t="n"/>
      <c r="L15" s="23" t="n"/>
      <c r="M15" s="9" t="n"/>
    </row>
    <row r="16" ht="30" customHeight="1">
      <c r="B16" s="5" t="inlineStr">
        <is>
          <t>► YOUR BUDGET</t>
        </is>
      </c>
      <c r="I16" s="19">
        <f>C19</f>
        <v/>
      </c>
      <c r="M16" s="15" t="n"/>
    </row>
    <row r="17" ht="16" customHeight="1">
      <c r="B17" s="24" t="inlineStr">
        <is>
          <t>Extra each month, on top of minimums</t>
        </is>
      </c>
      <c r="C17" s="11" t="n">
        <v>200</v>
      </c>
      <c r="I17" s="17" t="inlineStr">
        <is>
          <t>the same every month until you're done</t>
        </is>
      </c>
      <c r="J17" s="25" t="n"/>
      <c r="K17" s="25" t="n"/>
      <c r="L17" s="25" t="n"/>
      <c r="M17" s="18" t="n"/>
    </row>
    <row r="18">
      <c r="B18" s="24" t="inlineStr">
        <is>
          <t>Plan start month</t>
        </is>
      </c>
      <c r="C18" s="26">
        <f>DATE(YEAR(TODAY()),MONTH(TODAY()),1)</f>
        <v/>
      </c>
    </row>
    <row r="19">
      <c r="B19" s="24" t="inlineStr">
        <is>
          <t>Monthly budget (minimums + extra)</t>
        </is>
      </c>
      <c r="C19" s="27">
        <f>E14+C17</f>
        <v/>
      </c>
    </row>
    <row r="21">
      <c r="B21" s="5" t="inlineStr">
        <is>
          <t>► YOUR PAYOFF ORDER</t>
        </is>
      </c>
      <c r="I21" s="5" t="inlineStr">
        <is>
          <t>► BALANCE OVER TIME</t>
        </is>
      </c>
    </row>
    <row r="22" ht="22" customHeight="1">
      <c r="B22" s="6" t="inlineStr">
        <is>
          <t>Debt</t>
        </is>
      </c>
      <c r="C22" s="7" t="inlineStr">
        <is>
          <t>Balance</t>
        </is>
      </c>
      <c r="D22" s="7" t="inlineStr">
        <is>
          <t>APR %</t>
        </is>
      </c>
      <c r="E22" s="7" t="inlineStr">
        <is>
          <t>Minimum / mo</t>
        </is>
      </c>
      <c r="F22" s="7" t="inlineStr">
        <is>
          <t>#</t>
        </is>
      </c>
    </row>
    <row r="23">
      <c r="B23" s="28">
        <f>IFERROR(INDEX($B$8:$B$13,MATCH(1,$F$8:$F$13,0)),"")</f>
        <v/>
      </c>
      <c r="C23" s="29">
        <f>IFERROR(INDEX($C$8:$C$13,MATCH(1,$F$8:$F$13,0)),0)</f>
        <v/>
      </c>
      <c r="D23" s="30">
        <f>IFERROR(INDEX($D$8:$D$13,MATCH(1,$F$8:$F$13,0)),0)</f>
        <v/>
      </c>
      <c r="E23" s="29">
        <f>IFERROR(INDEX($E$8:$E$13,MATCH(1,$F$8:$F$13,0)),0)</f>
        <v/>
      </c>
      <c r="F23" s="13" t="n">
        <v>1</v>
      </c>
    </row>
    <row r="24">
      <c r="B24" s="22">
        <f>IFERROR(INDEX($B$8:$B$13,MATCH(2,$F$8:$F$13,0)),"")</f>
        <v/>
      </c>
      <c r="C24" s="31">
        <f>IFERROR(INDEX($C$8:$C$13,MATCH(2,$F$8:$F$13,0)),0)</f>
        <v/>
      </c>
      <c r="D24" s="32">
        <f>IFERROR(INDEX($D$8:$D$13,MATCH(2,$F$8:$F$13,0)),0)</f>
        <v/>
      </c>
      <c r="E24" s="31">
        <f>IFERROR(INDEX($E$8:$E$13,MATCH(2,$F$8:$F$13,0)),0)</f>
        <v/>
      </c>
      <c r="F24" s="33" t="n">
        <v>2</v>
      </c>
    </row>
    <row r="25">
      <c r="B25" s="28">
        <f>IFERROR(INDEX($B$8:$B$13,MATCH(3,$F$8:$F$13,0)),"")</f>
        <v/>
      </c>
      <c r="C25" s="29">
        <f>IFERROR(INDEX($C$8:$C$13,MATCH(3,$F$8:$F$13,0)),0)</f>
        <v/>
      </c>
      <c r="D25" s="30">
        <f>IFERROR(INDEX($D$8:$D$13,MATCH(3,$F$8:$F$13,0)),0)</f>
        <v/>
      </c>
      <c r="E25" s="29">
        <f>IFERROR(INDEX($E$8:$E$13,MATCH(3,$F$8:$F$13,0)),0)</f>
        <v/>
      </c>
      <c r="F25" s="13" t="n">
        <v>3</v>
      </c>
    </row>
    <row r="26">
      <c r="B26" s="22">
        <f>IFERROR(INDEX($B$8:$B$13,MATCH(4,$F$8:$F$13,0)),"")</f>
        <v/>
      </c>
      <c r="C26" s="31">
        <f>IFERROR(INDEX($C$8:$C$13,MATCH(4,$F$8:$F$13,0)),0)</f>
        <v/>
      </c>
      <c r="D26" s="32">
        <f>IFERROR(INDEX($D$8:$D$13,MATCH(4,$F$8:$F$13,0)),0)</f>
        <v/>
      </c>
      <c r="E26" s="31">
        <f>IFERROR(INDEX($E$8:$E$13,MATCH(4,$F$8:$F$13,0)),0)</f>
        <v/>
      </c>
      <c r="F26" s="33" t="n">
        <v>4</v>
      </c>
    </row>
    <row r="27">
      <c r="B27" s="28">
        <f>IFERROR(INDEX($B$8:$B$13,MATCH(5,$F$8:$F$13,0)),"")</f>
        <v/>
      </c>
      <c r="C27" s="29">
        <f>IFERROR(INDEX($C$8:$C$13,MATCH(5,$F$8:$F$13,0)),0)</f>
        <v/>
      </c>
      <c r="D27" s="30">
        <f>IFERROR(INDEX($D$8:$D$13,MATCH(5,$F$8:$F$13,0)),0)</f>
        <v/>
      </c>
      <c r="E27" s="29">
        <f>IFERROR(INDEX($E$8:$E$13,MATCH(5,$F$8:$F$13,0)),0)</f>
        <v/>
      </c>
      <c r="F27" s="13" t="n">
        <v>5</v>
      </c>
    </row>
    <row r="28">
      <c r="B28" s="22">
        <f>IFERROR(INDEX($B$8:$B$13,MATCH(6,$F$8:$F$13,0)),"")</f>
        <v/>
      </c>
      <c r="C28" s="31">
        <f>IFERROR(INDEX($C$8:$C$13,MATCH(6,$F$8:$F$13,0)),0)</f>
        <v/>
      </c>
      <c r="D28" s="32">
        <f>IFERROR(INDEX($D$8:$D$13,MATCH(6,$F$8:$F$13,0)),0)</f>
        <v/>
      </c>
      <c r="E28" s="31">
        <f>IFERROR(INDEX($E$8:$E$13,MATCH(6,$F$8:$F$13,0)),0)</f>
        <v/>
      </c>
      <c r="F28" s="33" t="n">
        <v>6</v>
      </c>
    </row>
  </sheetData>
  <mergeCells count="15">
    <mergeCell ref="I12:J12"/>
    <mergeCell ref="L12:M12"/>
    <mergeCell ref="L7:M7"/>
    <mergeCell ref="I15:M15"/>
    <mergeCell ref="I7:J7"/>
    <mergeCell ref="L13:M13"/>
    <mergeCell ref="I16:M16"/>
    <mergeCell ref="I11:J11"/>
    <mergeCell ref="L11:M11"/>
    <mergeCell ref="I13:J13"/>
    <mergeCell ref="I8:J8"/>
    <mergeCell ref="L8:M8"/>
    <mergeCell ref="I9:J9"/>
    <mergeCell ref="L9:M9"/>
    <mergeCell ref="I17:M17"/>
  </mergeCells>
  <conditionalFormatting sqref="C23:C28">
    <cfRule type="dataBar" priority="1">
      <dataBar showValue="1">
        <cfvo type="num" val="0"/>
        <cfvo type="max"/>
        <color rgb="00C4A2FF"/>
      </dataBar>
    </cfRule>
  </conditionalFormatting>
  <conditionalFormatting sqref="B23:F28">
    <cfRule type="expression" priority="2" dxfId="0">
      <formula>$C23=0</formula>
    </cfRule>
  </conditionalFormatting>
  <pageMargins left="0.75" right="0.75" top="1" bottom="1" header="0.5" footer="0.5"/>
  <pageSetup orientation="landscape" fitToWidth="1"/>
  <drawing xmlns:r="http://schemas.openxmlformats.org/officeDocument/2006/relationships" r:id="rId1"/>
</worksheet>
</file>

<file path=xl/worksheets/sheet2.xml><?xml version="1.0" encoding="utf-8"?>
<worksheet xmlns="http://schemas.openxmlformats.org/spreadsheetml/2006/main">
  <sheetPr>
    <tabColor rgb="00C4A2FF"/>
    <outlinePr summaryBelow="1" summaryRight="1"/>
    <pageSetUpPr/>
  </sheetPr>
  <dimension ref="A1:AG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9" customWidth="1" min="7" max="7"/>
    <col width="11" customWidth="1" min="8" max="8"/>
    <col width="11" customWidth="1" min="9" max="9"/>
    <col width="11" customWidth="1" min="10" max="10"/>
    <col width="11" customWidth="1" min="11" max="11"/>
    <col width="9" customWidth="1" min="12" max="12"/>
    <col width="11" customWidth="1" min="13" max="13"/>
    <col width="11" customWidth="1" min="14" max="14"/>
    <col width="11" customWidth="1" min="15" max="15"/>
    <col width="11" customWidth="1" min="16" max="16"/>
    <col width="9" customWidth="1" min="17" max="17"/>
    <col width="11" customWidth="1" min="18" max="18"/>
    <col width="11" customWidth="1" min="19" max="19"/>
    <col width="11" customWidth="1" min="20" max="20"/>
    <col width="11" customWidth="1" min="21" max="21"/>
    <col width="9" customWidth="1" min="22" max="22"/>
    <col width="11" customWidth="1" min="23" max="23"/>
    <col width="11" customWidth="1" min="24" max="24"/>
    <col width="11" customWidth="1" min="25" max="25"/>
    <col width="11" customWidth="1" min="26" max="26"/>
    <col width="9" customWidth="1" min="27" max="27"/>
    <col width="11" customWidth="1" min="28" max="28"/>
    <col width="11" customWidth="1" min="29" max="29"/>
    <col width="11" customWidth="1" min="30" max="30"/>
    <col width="11" customWidth="1" min="31" max="31"/>
    <col width="9" customWidth="1" min="32" max="32"/>
    <col width="13" customWidth="1" min="33" max="33"/>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row>
    <row r="2" ht="16" customHeight="1">
      <c r="A2" s="1" t="n"/>
      <c r="B2" s="2" t="inlineStr">
        <is>
          <t>[ DEBTLESS ]  MONTH BY MONTH</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c r="AD2" s="1" t="n"/>
      <c r="AE2" s="1" t="n"/>
      <c r="AF2" s="1" t="n"/>
      <c r="AG2" s="1" t="n"/>
    </row>
    <row r="3" ht="34" customHeight="1">
      <c r="A3" s="1" t="n"/>
      <c r="B3" s="3" t="inlineStr">
        <is>
          <t>Your schedule.</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c r="AD3" s="1" t="n"/>
      <c r="AE3" s="1" t="n"/>
      <c r="AF3" s="1" t="n"/>
      <c r="AG3" s="1" t="n"/>
    </row>
    <row r="4" ht="20" customHeight="1">
      <c r="A4" s="1" t="n"/>
      <c r="B4" s="4" t="inlineStr">
        <is>
          <t>Minimums on every debt; the extra and every freed-up minimum go to the first open debt. Lavender = the focus payment.</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c r="AD4" s="1" t="n"/>
      <c r="AE4" s="1" t="n"/>
      <c r="AF4" s="1" t="n"/>
      <c r="AG4" s="1" t="n"/>
    </row>
    <row r="6">
      <c r="A6" s="34" t="n"/>
      <c r="C6" s="35">
        <f>IF(Plan!$B$23="","(empty slot)",Plan!$B$23)</f>
        <v/>
      </c>
      <c r="D6" s="36" t="n"/>
      <c r="E6" s="36" t="n"/>
      <c r="F6" s="36" t="n"/>
      <c r="G6" s="36" t="n"/>
      <c r="H6" s="37">
        <f>IF(Plan!$B$24="","(empty slot)",Plan!$B$24)</f>
        <v/>
      </c>
      <c r="I6" s="38" t="n"/>
      <c r="J6" s="38" t="n"/>
      <c r="K6" s="38" t="n"/>
      <c r="L6" s="38" t="n"/>
      <c r="M6" s="35">
        <f>IF(Plan!$B$25="","(empty slot)",Plan!$B$25)</f>
        <v/>
      </c>
      <c r="N6" s="36" t="n"/>
      <c r="O6" s="36" t="n"/>
      <c r="P6" s="36" t="n"/>
      <c r="Q6" s="36" t="n"/>
      <c r="R6" s="37">
        <f>IF(Plan!$B$26="","(empty slot)",Plan!$B$26)</f>
        <v/>
      </c>
      <c r="S6" s="38" t="n"/>
      <c r="T6" s="38" t="n"/>
      <c r="U6" s="38" t="n"/>
      <c r="V6" s="38" t="n"/>
      <c r="W6" s="35">
        <f>IF(Plan!$B$27="","(empty slot)",Plan!$B$27)</f>
        <v/>
      </c>
      <c r="X6" s="36" t="n"/>
      <c r="Y6" s="36" t="n"/>
      <c r="Z6" s="36" t="n"/>
      <c r="AA6" s="36" t="n"/>
      <c r="AB6" s="37">
        <f>IF(Plan!$B$28="","(empty slot)",Plan!$B$28)</f>
        <v/>
      </c>
      <c r="AC6" s="38" t="n"/>
      <c r="AD6" s="38" t="n"/>
      <c r="AE6" s="38" t="n"/>
      <c r="AF6" s="38" t="n"/>
    </row>
    <row r="7">
      <c r="A7" s="39" t="inlineStr">
        <is>
          <t>Month</t>
        </is>
      </c>
      <c r="B7" s="39" t="inlineStr">
        <is>
          <t>Date</t>
        </is>
      </c>
      <c r="C7" s="39" t="inlineStr">
        <is>
          <t>Start</t>
        </is>
      </c>
      <c r="D7" s="39" t="inlineStr">
        <is>
          <t>Interest</t>
        </is>
      </c>
      <c r="E7" s="39" t="inlineStr">
        <is>
          <t>Payment</t>
        </is>
      </c>
      <c r="F7" s="39" t="inlineStr">
        <is>
          <t>End</t>
        </is>
      </c>
      <c r="G7" s="39" t="inlineStr">
        <is>
          <t>Pool left</t>
        </is>
      </c>
      <c r="H7" s="39" t="inlineStr">
        <is>
          <t>Start</t>
        </is>
      </c>
      <c r="I7" s="39" t="inlineStr">
        <is>
          <t>Interest</t>
        </is>
      </c>
      <c r="J7" s="39" t="inlineStr">
        <is>
          <t>Payment</t>
        </is>
      </c>
      <c r="K7" s="39" t="inlineStr">
        <is>
          <t>End</t>
        </is>
      </c>
      <c r="L7" s="39" t="inlineStr">
        <is>
          <t>Pool left</t>
        </is>
      </c>
      <c r="M7" s="39" t="inlineStr">
        <is>
          <t>Start</t>
        </is>
      </c>
      <c r="N7" s="39" t="inlineStr">
        <is>
          <t>Interest</t>
        </is>
      </c>
      <c r="O7" s="39" t="inlineStr">
        <is>
          <t>Payment</t>
        </is>
      </c>
      <c r="P7" s="39" t="inlineStr">
        <is>
          <t>End</t>
        </is>
      </c>
      <c r="Q7" s="39" t="inlineStr">
        <is>
          <t>Pool left</t>
        </is>
      </c>
      <c r="R7" s="39" t="inlineStr">
        <is>
          <t>Start</t>
        </is>
      </c>
      <c r="S7" s="39" t="inlineStr">
        <is>
          <t>Interest</t>
        </is>
      </c>
      <c r="T7" s="39" t="inlineStr">
        <is>
          <t>Payment</t>
        </is>
      </c>
      <c r="U7" s="39" t="inlineStr">
        <is>
          <t>End</t>
        </is>
      </c>
      <c r="V7" s="39" t="inlineStr">
        <is>
          <t>Pool left</t>
        </is>
      </c>
      <c r="W7" s="39" t="inlineStr">
        <is>
          <t>Start</t>
        </is>
      </c>
      <c r="X7" s="39" t="inlineStr">
        <is>
          <t>Interest</t>
        </is>
      </c>
      <c r="Y7" s="39" t="inlineStr">
        <is>
          <t>Payment</t>
        </is>
      </c>
      <c r="Z7" s="39" t="inlineStr">
        <is>
          <t>End</t>
        </is>
      </c>
      <c r="AA7" s="39" t="inlineStr">
        <is>
          <t>Pool left</t>
        </is>
      </c>
      <c r="AB7" s="39" t="inlineStr">
        <is>
          <t>Start</t>
        </is>
      </c>
      <c r="AC7" s="39" t="inlineStr">
        <is>
          <t>Interest</t>
        </is>
      </c>
      <c r="AD7" s="39" t="inlineStr">
        <is>
          <t>Payment</t>
        </is>
      </c>
      <c r="AE7" s="39" t="inlineStr">
        <is>
          <t>End</t>
        </is>
      </c>
      <c r="AF7" s="39" t="inlineStr">
        <is>
          <t>Pool left</t>
        </is>
      </c>
      <c r="AG7" s="39" t="inlineStr">
        <is>
          <t>Total owed</t>
        </is>
      </c>
    </row>
    <row r="8">
      <c r="A8" s="40" t="n">
        <v>1</v>
      </c>
      <c r="B8" s="41">
        <f>EDATE(Plan!$C$18,0)</f>
        <v/>
      </c>
      <c r="C8" s="42">
        <f>Plan!$C$23</f>
        <v/>
      </c>
      <c r="D8" s="43">
        <f>IF(C8&gt;0,C8*Plan!$D$23/100/12,0)</f>
        <v/>
      </c>
      <c r="E8" s="42">
        <f>IF(C8&lt;=0,0,MIN(C8+D8,Plan!$E$23+(Plan!$C$17+IF(C8&lt;=0,Plan!$E$23,MAX(0,Plan!$E$23-(C8+D8)))+IF(H8&lt;=0,Plan!$E$24,MAX(0,Plan!$E$24-(H8+I8)))+IF(M8&lt;=0,Plan!$E$25,MAX(0,Plan!$E$25-(M8+N8)))+IF(R8&lt;=0,Plan!$E$26,MAX(0,Plan!$E$26-(R8+S8)))+IF(W8&lt;=0,Plan!$E$27,MAX(0,Plan!$E$27-(W8+X8)))+IF(AB8&lt;=0,Plan!$E$28,MAX(0,Plan!$E$28-(AB8+AC8))))))</f>
        <v/>
      </c>
      <c r="F8" s="44">
        <f>MAX(0,C8+D8-E8)</f>
        <v/>
      </c>
      <c r="G8" s="45">
        <f>(Plan!$C$17+IF(C8&lt;=0,Plan!$E$23,MAX(0,Plan!$E$23-(C8+D8)))+IF(H8&lt;=0,Plan!$E$24,MAX(0,Plan!$E$24-(H8+I8)))+IF(M8&lt;=0,Plan!$E$25,MAX(0,Plan!$E$25-(M8+N8)))+IF(R8&lt;=0,Plan!$E$26,MAX(0,Plan!$E$26-(R8+S8)))+IF(W8&lt;=0,Plan!$E$27,MAX(0,Plan!$E$27-(W8+X8)))+IF(AB8&lt;=0,Plan!$E$28,MAX(0,Plan!$E$28-(AB8+AC8))))-IF(C8&lt;=0,0,MAX(0,E8-Plan!$E$23))</f>
        <v/>
      </c>
      <c r="H8" s="42">
        <f>Plan!$C$24</f>
        <v/>
      </c>
      <c r="I8" s="43">
        <f>IF(H8&gt;0,H8*Plan!$D$24/100/12,0)</f>
        <v/>
      </c>
      <c r="J8" s="42">
        <f>IF(H8&lt;=0,0,MIN(H8+I8,Plan!$E$24+G8))</f>
        <v/>
      </c>
      <c r="K8" s="44">
        <f>MAX(0,H8+I8-J8)</f>
        <v/>
      </c>
      <c r="L8" s="45">
        <f>G8-IF(H8&lt;=0,0,MAX(0,J8-Plan!$E$24))</f>
        <v/>
      </c>
      <c r="M8" s="42">
        <f>Plan!$C$25</f>
        <v/>
      </c>
      <c r="N8" s="43">
        <f>IF(M8&gt;0,M8*Plan!$D$25/100/12,0)</f>
        <v/>
      </c>
      <c r="O8" s="42">
        <f>IF(M8&lt;=0,0,MIN(M8+N8,Plan!$E$25+L8))</f>
        <v/>
      </c>
      <c r="P8" s="44">
        <f>MAX(0,M8+N8-O8)</f>
        <v/>
      </c>
      <c r="Q8" s="45">
        <f>L8-IF(M8&lt;=0,0,MAX(0,O8-Plan!$E$25))</f>
        <v/>
      </c>
      <c r="R8" s="42">
        <f>Plan!$C$26</f>
        <v/>
      </c>
      <c r="S8" s="43">
        <f>IF(R8&gt;0,R8*Plan!$D$26/100/12,0)</f>
        <v/>
      </c>
      <c r="T8" s="42">
        <f>IF(R8&lt;=0,0,MIN(R8+S8,Plan!$E$26+Q8))</f>
        <v/>
      </c>
      <c r="U8" s="44">
        <f>MAX(0,R8+S8-T8)</f>
        <v/>
      </c>
      <c r="V8" s="45">
        <f>Q8-IF(R8&lt;=0,0,MAX(0,T8-Plan!$E$26))</f>
        <v/>
      </c>
      <c r="W8" s="42">
        <f>Plan!$C$27</f>
        <v/>
      </c>
      <c r="X8" s="43">
        <f>IF(W8&gt;0,W8*Plan!$D$27/100/12,0)</f>
        <v/>
      </c>
      <c r="Y8" s="42">
        <f>IF(W8&lt;=0,0,MIN(W8+X8,Plan!$E$27+V8))</f>
        <v/>
      </c>
      <c r="Z8" s="44">
        <f>MAX(0,W8+X8-Y8)</f>
        <v/>
      </c>
      <c r="AA8" s="45">
        <f>V8-IF(W8&lt;=0,0,MAX(0,Y8-Plan!$E$27))</f>
        <v/>
      </c>
      <c r="AB8" s="42">
        <f>Plan!$C$28</f>
        <v/>
      </c>
      <c r="AC8" s="43">
        <f>IF(AB8&gt;0,AB8*Plan!$D$28/100/12,0)</f>
        <v/>
      </c>
      <c r="AD8" s="42">
        <f>IF(AB8&lt;=0,0,MIN(AB8+AC8,Plan!$E$28+AA8))</f>
        <v/>
      </c>
      <c r="AE8" s="44">
        <f>MAX(0,AB8+AC8-AD8)</f>
        <v/>
      </c>
      <c r="AF8" s="45">
        <f>AA8-IF(AB8&lt;=0,0,MAX(0,AD8-Plan!$E$28))</f>
        <v/>
      </c>
      <c r="AG8" s="44">
        <f>F8+K8+P8+U8+Z8+AE8</f>
        <v/>
      </c>
    </row>
    <row r="9">
      <c r="A9" s="46" t="n">
        <v>2</v>
      </c>
      <c r="B9" s="47">
        <f>EDATE(Plan!$C$18,1)</f>
        <v/>
      </c>
      <c r="C9" s="48">
        <f>F8</f>
        <v/>
      </c>
      <c r="D9" s="49">
        <f>IF(C9&gt;0,C9*Plan!$D$23/100/12,0)</f>
        <v/>
      </c>
      <c r="E9" s="48">
        <f>IF(C9&lt;=0,0,MIN(C9+D9,Plan!$E$23+(Plan!$C$17+IF(C9&lt;=0,Plan!$E$23,MAX(0,Plan!$E$23-(C9+D9)))+IF(H9&lt;=0,Plan!$E$24,MAX(0,Plan!$E$24-(H9+I9)))+IF(M9&lt;=0,Plan!$E$25,MAX(0,Plan!$E$25-(M9+N9)))+IF(R9&lt;=0,Plan!$E$26,MAX(0,Plan!$E$26-(R9+S9)))+IF(W9&lt;=0,Plan!$E$27,MAX(0,Plan!$E$27-(W9+X9)))+IF(AB9&lt;=0,Plan!$E$28,MAX(0,Plan!$E$28-(AB9+AC9))))))</f>
        <v/>
      </c>
      <c r="F9" s="50">
        <f>MAX(0,C9+D9-E9)</f>
        <v/>
      </c>
      <c r="G9" s="51">
        <f>(Plan!$C$17+IF(C9&lt;=0,Plan!$E$23,MAX(0,Plan!$E$23-(C9+D9)))+IF(H9&lt;=0,Plan!$E$24,MAX(0,Plan!$E$24-(H9+I9)))+IF(M9&lt;=0,Plan!$E$25,MAX(0,Plan!$E$25-(M9+N9)))+IF(R9&lt;=0,Plan!$E$26,MAX(0,Plan!$E$26-(R9+S9)))+IF(W9&lt;=0,Plan!$E$27,MAX(0,Plan!$E$27-(W9+X9)))+IF(AB9&lt;=0,Plan!$E$28,MAX(0,Plan!$E$28-(AB9+AC9))))-IF(C9&lt;=0,0,MAX(0,E9-Plan!$E$23))</f>
        <v/>
      </c>
      <c r="H9" s="48">
        <f>K8</f>
        <v/>
      </c>
      <c r="I9" s="49">
        <f>IF(H9&gt;0,H9*Plan!$D$24/100/12,0)</f>
        <v/>
      </c>
      <c r="J9" s="48">
        <f>IF(H9&lt;=0,0,MIN(H9+I9,Plan!$E$24+G9))</f>
        <v/>
      </c>
      <c r="K9" s="50">
        <f>MAX(0,H9+I9-J9)</f>
        <v/>
      </c>
      <c r="L9" s="51">
        <f>G9-IF(H9&lt;=0,0,MAX(0,J9-Plan!$E$24))</f>
        <v/>
      </c>
      <c r="M9" s="48">
        <f>P8</f>
        <v/>
      </c>
      <c r="N9" s="49">
        <f>IF(M9&gt;0,M9*Plan!$D$25/100/12,0)</f>
        <v/>
      </c>
      <c r="O9" s="48">
        <f>IF(M9&lt;=0,0,MIN(M9+N9,Plan!$E$25+L9))</f>
        <v/>
      </c>
      <c r="P9" s="50">
        <f>MAX(0,M9+N9-O9)</f>
        <v/>
      </c>
      <c r="Q9" s="51">
        <f>L9-IF(M9&lt;=0,0,MAX(0,O9-Plan!$E$25))</f>
        <v/>
      </c>
      <c r="R9" s="48">
        <f>U8</f>
        <v/>
      </c>
      <c r="S9" s="49">
        <f>IF(R9&gt;0,R9*Plan!$D$26/100/12,0)</f>
        <v/>
      </c>
      <c r="T9" s="48">
        <f>IF(R9&lt;=0,0,MIN(R9+S9,Plan!$E$26+Q9))</f>
        <v/>
      </c>
      <c r="U9" s="50">
        <f>MAX(0,R9+S9-T9)</f>
        <v/>
      </c>
      <c r="V9" s="51">
        <f>Q9-IF(R9&lt;=0,0,MAX(0,T9-Plan!$E$26))</f>
        <v/>
      </c>
      <c r="W9" s="48">
        <f>Z8</f>
        <v/>
      </c>
      <c r="X9" s="49">
        <f>IF(W9&gt;0,W9*Plan!$D$27/100/12,0)</f>
        <v/>
      </c>
      <c r="Y9" s="48">
        <f>IF(W9&lt;=0,0,MIN(W9+X9,Plan!$E$27+V9))</f>
        <v/>
      </c>
      <c r="Z9" s="50">
        <f>MAX(0,W9+X9-Y9)</f>
        <v/>
      </c>
      <c r="AA9" s="51">
        <f>V9-IF(W9&lt;=0,0,MAX(0,Y9-Plan!$E$27))</f>
        <v/>
      </c>
      <c r="AB9" s="48">
        <f>AE8</f>
        <v/>
      </c>
      <c r="AC9" s="49">
        <f>IF(AB9&gt;0,AB9*Plan!$D$28/100/12,0)</f>
        <v/>
      </c>
      <c r="AD9" s="48">
        <f>IF(AB9&lt;=0,0,MIN(AB9+AC9,Plan!$E$28+AA9))</f>
        <v/>
      </c>
      <c r="AE9" s="50">
        <f>MAX(0,AB9+AC9-AD9)</f>
        <v/>
      </c>
      <c r="AF9" s="51">
        <f>AA9-IF(AB9&lt;=0,0,MAX(0,AD9-Plan!$E$28))</f>
        <v/>
      </c>
      <c r="AG9" s="50">
        <f>F9+K9+P9+U9+Z9+AE9</f>
        <v/>
      </c>
    </row>
    <row r="10">
      <c r="A10" s="40" t="n">
        <v>3</v>
      </c>
      <c r="B10" s="41">
        <f>EDATE(Plan!$C$18,2)</f>
        <v/>
      </c>
      <c r="C10" s="42">
        <f>F9</f>
        <v/>
      </c>
      <c r="D10" s="43">
        <f>IF(C10&gt;0,C10*Plan!$D$23/100/12,0)</f>
        <v/>
      </c>
      <c r="E10" s="42">
        <f>IF(C10&lt;=0,0,MIN(C10+D10,Plan!$E$23+(Plan!$C$17+IF(C10&lt;=0,Plan!$E$23,MAX(0,Plan!$E$23-(C10+D10)))+IF(H10&lt;=0,Plan!$E$24,MAX(0,Plan!$E$24-(H10+I10)))+IF(M10&lt;=0,Plan!$E$25,MAX(0,Plan!$E$25-(M10+N10)))+IF(R10&lt;=0,Plan!$E$26,MAX(0,Plan!$E$26-(R10+S10)))+IF(W10&lt;=0,Plan!$E$27,MAX(0,Plan!$E$27-(W10+X10)))+IF(AB10&lt;=0,Plan!$E$28,MAX(0,Plan!$E$28-(AB10+AC10))))))</f>
        <v/>
      </c>
      <c r="F10" s="44">
        <f>MAX(0,C10+D10-E10)</f>
        <v/>
      </c>
      <c r="G10" s="45">
        <f>(Plan!$C$17+IF(C10&lt;=0,Plan!$E$23,MAX(0,Plan!$E$23-(C10+D10)))+IF(H10&lt;=0,Plan!$E$24,MAX(0,Plan!$E$24-(H10+I10)))+IF(M10&lt;=0,Plan!$E$25,MAX(0,Plan!$E$25-(M10+N10)))+IF(R10&lt;=0,Plan!$E$26,MAX(0,Plan!$E$26-(R10+S10)))+IF(W10&lt;=0,Plan!$E$27,MAX(0,Plan!$E$27-(W10+X10)))+IF(AB10&lt;=0,Plan!$E$28,MAX(0,Plan!$E$28-(AB10+AC10))))-IF(C10&lt;=0,0,MAX(0,E10-Plan!$E$23))</f>
        <v/>
      </c>
      <c r="H10" s="42">
        <f>K9</f>
        <v/>
      </c>
      <c r="I10" s="43">
        <f>IF(H10&gt;0,H10*Plan!$D$24/100/12,0)</f>
        <v/>
      </c>
      <c r="J10" s="42">
        <f>IF(H10&lt;=0,0,MIN(H10+I10,Plan!$E$24+G10))</f>
        <v/>
      </c>
      <c r="K10" s="44">
        <f>MAX(0,H10+I10-J10)</f>
        <v/>
      </c>
      <c r="L10" s="45">
        <f>G10-IF(H10&lt;=0,0,MAX(0,J10-Plan!$E$24))</f>
        <v/>
      </c>
      <c r="M10" s="42">
        <f>P9</f>
        <v/>
      </c>
      <c r="N10" s="43">
        <f>IF(M10&gt;0,M10*Plan!$D$25/100/12,0)</f>
        <v/>
      </c>
      <c r="O10" s="42">
        <f>IF(M10&lt;=0,0,MIN(M10+N10,Plan!$E$25+L10))</f>
        <v/>
      </c>
      <c r="P10" s="44">
        <f>MAX(0,M10+N10-O10)</f>
        <v/>
      </c>
      <c r="Q10" s="45">
        <f>L10-IF(M10&lt;=0,0,MAX(0,O10-Plan!$E$25))</f>
        <v/>
      </c>
      <c r="R10" s="42">
        <f>U9</f>
        <v/>
      </c>
      <c r="S10" s="43">
        <f>IF(R10&gt;0,R10*Plan!$D$26/100/12,0)</f>
        <v/>
      </c>
      <c r="T10" s="42">
        <f>IF(R10&lt;=0,0,MIN(R10+S10,Plan!$E$26+Q10))</f>
        <v/>
      </c>
      <c r="U10" s="44">
        <f>MAX(0,R10+S10-T10)</f>
        <v/>
      </c>
      <c r="V10" s="45">
        <f>Q10-IF(R10&lt;=0,0,MAX(0,T10-Plan!$E$26))</f>
        <v/>
      </c>
      <c r="W10" s="42">
        <f>Z9</f>
        <v/>
      </c>
      <c r="X10" s="43">
        <f>IF(W10&gt;0,W10*Plan!$D$27/100/12,0)</f>
        <v/>
      </c>
      <c r="Y10" s="42">
        <f>IF(W10&lt;=0,0,MIN(W10+X10,Plan!$E$27+V10))</f>
        <v/>
      </c>
      <c r="Z10" s="44">
        <f>MAX(0,W10+X10-Y10)</f>
        <v/>
      </c>
      <c r="AA10" s="45">
        <f>V10-IF(W10&lt;=0,0,MAX(0,Y10-Plan!$E$27))</f>
        <v/>
      </c>
      <c r="AB10" s="42">
        <f>AE9</f>
        <v/>
      </c>
      <c r="AC10" s="43">
        <f>IF(AB10&gt;0,AB10*Plan!$D$28/100/12,0)</f>
        <v/>
      </c>
      <c r="AD10" s="42">
        <f>IF(AB10&lt;=0,0,MIN(AB10+AC10,Plan!$E$28+AA10))</f>
        <v/>
      </c>
      <c r="AE10" s="44">
        <f>MAX(0,AB10+AC10-AD10)</f>
        <v/>
      </c>
      <c r="AF10" s="45">
        <f>AA10-IF(AB10&lt;=0,0,MAX(0,AD10-Plan!$E$28))</f>
        <v/>
      </c>
      <c r="AG10" s="44">
        <f>F10+K10+P10+U10+Z10+AE10</f>
        <v/>
      </c>
    </row>
    <row r="11">
      <c r="A11" s="46" t="n">
        <v>4</v>
      </c>
      <c r="B11" s="47">
        <f>EDATE(Plan!$C$18,3)</f>
        <v/>
      </c>
      <c r="C11" s="48">
        <f>F10</f>
        <v/>
      </c>
      <c r="D11" s="49">
        <f>IF(C11&gt;0,C11*Plan!$D$23/100/12,0)</f>
        <v/>
      </c>
      <c r="E11" s="48">
        <f>IF(C11&lt;=0,0,MIN(C11+D11,Plan!$E$23+(Plan!$C$17+IF(C11&lt;=0,Plan!$E$23,MAX(0,Plan!$E$23-(C11+D11)))+IF(H11&lt;=0,Plan!$E$24,MAX(0,Plan!$E$24-(H11+I11)))+IF(M11&lt;=0,Plan!$E$25,MAX(0,Plan!$E$25-(M11+N11)))+IF(R11&lt;=0,Plan!$E$26,MAX(0,Plan!$E$26-(R11+S11)))+IF(W11&lt;=0,Plan!$E$27,MAX(0,Plan!$E$27-(W11+X11)))+IF(AB11&lt;=0,Plan!$E$28,MAX(0,Plan!$E$28-(AB11+AC11))))))</f>
        <v/>
      </c>
      <c r="F11" s="50">
        <f>MAX(0,C11+D11-E11)</f>
        <v/>
      </c>
      <c r="G11" s="51">
        <f>(Plan!$C$17+IF(C11&lt;=0,Plan!$E$23,MAX(0,Plan!$E$23-(C11+D11)))+IF(H11&lt;=0,Plan!$E$24,MAX(0,Plan!$E$24-(H11+I11)))+IF(M11&lt;=0,Plan!$E$25,MAX(0,Plan!$E$25-(M11+N11)))+IF(R11&lt;=0,Plan!$E$26,MAX(0,Plan!$E$26-(R11+S11)))+IF(W11&lt;=0,Plan!$E$27,MAX(0,Plan!$E$27-(W11+X11)))+IF(AB11&lt;=0,Plan!$E$28,MAX(0,Plan!$E$28-(AB11+AC11))))-IF(C11&lt;=0,0,MAX(0,E11-Plan!$E$23))</f>
        <v/>
      </c>
      <c r="H11" s="48">
        <f>K10</f>
        <v/>
      </c>
      <c r="I11" s="49">
        <f>IF(H11&gt;0,H11*Plan!$D$24/100/12,0)</f>
        <v/>
      </c>
      <c r="J11" s="48">
        <f>IF(H11&lt;=0,0,MIN(H11+I11,Plan!$E$24+G11))</f>
        <v/>
      </c>
      <c r="K11" s="50">
        <f>MAX(0,H11+I11-J11)</f>
        <v/>
      </c>
      <c r="L11" s="51">
        <f>G11-IF(H11&lt;=0,0,MAX(0,J11-Plan!$E$24))</f>
        <v/>
      </c>
      <c r="M11" s="48">
        <f>P10</f>
        <v/>
      </c>
      <c r="N11" s="49">
        <f>IF(M11&gt;0,M11*Plan!$D$25/100/12,0)</f>
        <v/>
      </c>
      <c r="O11" s="48">
        <f>IF(M11&lt;=0,0,MIN(M11+N11,Plan!$E$25+L11))</f>
        <v/>
      </c>
      <c r="P11" s="50">
        <f>MAX(0,M11+N11-O11)</f>
        <v/>
      </c>
      <c r="Q11" s="51">
        <f>L11-IF(M11&lt;=0,0,MAX(0,O11-Plan!$E$25))</f>
        <v/>
      </c>
      <c r="R11" s="48">
        <f>U10</f>
        <v/>
      </c>
      <c r="S11" s="49">
        <f>IF(R11&gt;0,R11*Plan!$D$26/100/12,0)</f>
        <v/>
      </c>
      <c r="T11" s="48">
        <f>IF(R11&lt;=0,0,MIN(R11+S11,Plan!$E$26+Q11))</f>
        <v/>
      </c>
      <c r="U11" s="50">
        <f>MAX(0,R11+S11-T11)</f>
        <v/>
      </c>
      <c r="V11" s="51">
        <f>Q11-IF(R11&lt;=0,0,MAX(0,T11-Plan!$E$26))</f>
        <v/>
      </c>
      <c r="W11" s="48">
        <f>Z10</f>
        <v/>
      </c>
      <c r="X11" s="49">
        <f>IF(W11&gt;0,W11*Plan!$D$27/100/12,0)</f>
        <v/>
      </c>
      <c r="Y11" s="48">
        <f>IF(W11&lt;=0,0,MIN(W11+X11,Plan!$E$27+V11))</f>
        <v/>
      </c>
      <c r="Z11" s="50">
        <f>MAX(0,W11+X11-Y11)</f>
        <v/>
      </c>
      <c r="AA11" s="51">
        <f>V11-IF(W11&lt;=0,0,MAX(0,Y11-Plan!$E$27))</f>
        <v/>
      </c>
      <c r="AB11" s="48">
        <f>AE10</f>
        <v/>
      </c>
      <c r="AC11" s="49">
        <f>IF(AB11&gt;0,AB11*Plan!$D$28/100/12,0)</f>
        <v/>
      </c>
      <c r="AD11" s="48">
        <f>IF(AB11&lt;=0,0,MIN(AB11+AC11,Plan!$E$28+AA11))</f>
        <v/>
      </c>
      <c r="AE11" s="50">
        <f>MAX(0,AB11+AC11-AD11)</f>
        <v/>
      </c>
      <c r="AF11" s="51">
        <f>AA11-IF(AB11&lt;=0,0,MAX(0,AD11-Plan!$E$28))</f>
        <v/>
      </c>
      <c r="AG11" s="50">
        <f>F11+K11+P11+U11+Z11+AE11</f>
        <v/>
      </c>
    </row>
    <row r="12">
      <c r="A12" s="40" t="n">
        <v>5</v>
      </c>
      <c r="B12" s="41">
        <f>EDATE(Plan!$C$18,4)</f>
        <v/>
      </c>
      <c r="C12" s="42">
        <f>F11</f>
        <v/>
      </c>
      <c r="D12" s="43">
        <f>IF(C12&gt;0,C12*Plan!$D$23/100/12,0)</f>
        <v/>
      </c>
      <c r="E12" s="42">
        <f>IF(C12&lt;=0,0,MIN(C12+D12,Plan!$E$23+(Plan!$C$17+IF(C12&lt;=0,Plan!$E$23,MAX(0,Plan!$E$23-(C12+D12)))+IF(H12&lt;=0,Plan!$E$24,MAX(0,Plan!$E$24-(H12+I12)))+IF(M12&lt;=0,Plan!$E$25,MAX(0,Plan!$E$25-(M12+N12)))+IF(R12&lt;=0,Plan!$E$26,MAX(0,Plan!$E$26-(R12+S12)))+IF(W12&lt;=0,Plan!$E$27,MAX(0,Plan!$E$27-(W12+X12)))+IF(AB12&lt;=0,Plan!$E$28,MAX(0,Plan!$E$28-(AB12+AC12))))))</f>
        <v/>
      </c>
      <c r="F12" s="44">
        <f>MAX(0,C12+D12-E12)</f>
        <v/>
      </c>
      <c r="G12" s="45">
        <f>(Plan!$C$17+IF(C12&lt;=0,Plan!$E$23,MAX(0,Plan!$E$23-(C12+D12)))+IF(H12&lt;=0,Plan!$E$24,MAX(0,Plan!$E$24-(H12+I12)))+IF(M12&lt;=0,Plan!$E$25,MAX(0,Plan!$E$25-(M12+N12)))+IF(R12&lt;=0,Plan!$E$26,MAX(0,Plan!$E$26-(R12+S12)))+IF(W12&lt;=0,Plan!$E$27,MAX(0,Plan!$E$27-(W12+X12)))+IF(AB12&lt;=0,Plan!$E$28,MAX(0,Plan!$E$28-(AB12+AC12))))-IF(C12&lt;=0,0,MAX(0,E12-Plan!$E$23))</f>
        <v/>
      </c>
      <c r="H12" s="42">
        <f>K11</f>
        <v/>
      </c>
      <c r="I12" s="43">
        <f>IF(H12&gt;0,H12*Plan!$D$24/100/12,0)</f>
        <v/>
      </c>
      <c r="J12" s="42">
        <f>IF(H12&lt;=0,0,MIN(H12+I12,Plan!$E$24+G12))</f>
        <v/>
      </c>
      <c r="K12" s="44">
        <f>MAX(0,H12+I12-J12)</f>
        <v/>
      </c>
      <c r="L12" s="45">
        <f>G12-IF(H12&lt;=0,0,MAX(0,J12-Plan!$E$24))</f>
        <v/>
      </c>
      <c r="M12" s="42">
        <f>P11</f>
        <v/>
      </c>
      <c r="N12" s="43">
        <f>IF(M12&gt;0,M12*Plan!$D$25/100/12,0)</f>
        <v/>
      </c>
      <c r="O12" s="42">
        <f>IF(M12&lt;=0,0,MIN(M12+N12,Plan!$E$25+L12))</f>
        <v/>
      </c>
      <c r="P12" s="44">
        <f>MAX(0,M12+N12-O12)</f>
        <v/>
      </c>
      <c r="Q12" s="45">
        <f>L12-IF(M12&lt;=0,0,MAX(0,O12-Plan!$E$25))</f>
        <v/>
      </c>
      <c r="R12" s="42">
        <f>U11</f>
        <v/>
      </c>
      <c r="S12" s="43">
        <f>IF(R12&gt;0,R12*Plan!$D$26/100/12,0)</f>
        <v/>
      </c>
      <c r="T12" s="42">
        <f>IF(R12&lt;=0,0,MIN(R12+S12,Plan!$E$26+Q12))</f>
        <v/>
      </c>
      <c r="U12" s="44">
        <f>MAX(0,R12+S12-T12)</f>
        <v/>
      </c>
      <c r="V12" s="45">
        <f>Q12-IF(R12&lt;=0,0,MAX(0,T12-Plan!$E$26))</f>
        <v/>
      </c>
      <c r="W12" s="42">
        <f>Z11</f>
        <v/>
      </c>
      <c r="X12" s="43">
        <f>IF(W12&gt;0,W12*Plan!$D$27/100/12,0)</f>
        <v/>
      </c>
      <c r="Y12" s="42">
        <f>IF(W12&lt;=0,0,MIN(W12+X12,Plan!$E$27+V12))</f>
        <v/>
      </c>
      <c r="Z12" s="44">
        <f>MAX(0,W12+X12-Y12)</f>
        <v/>
      </c>
      <c r="AA12" s="45">
        <f>V12-IF(W12&lt;=0,0,MAX(0,Y12-Plan!$E$27))</f>
        <v/>
      </c>
      <c r="AB12" s="42">
        <f>AE11</f>
        <v/>
      </c>
      <c r="AC12" s="43">
        <f>IF(AB12&gt;0,AB12*Plan!$D$28/100/12,0)</f>
        <v/>
      </c>
      <c r="AD12" s="42">
        <f>IF(AB12&lt;=0,0,MIN(AB12+AC12,Plan!$E$28+AA12))</f>
        <v/>
      </c>
      <c r="AE12" s="44">
        <f>MAX(0,AB12+AC12-AD12)</f>
        <v/>
      </c>
      <c r="AF12" s="45">
        <f>AA12-IF(AB12&lt;=0,0,MAX(0,AD12-Plan!$E$28))</f>
        <v/>
      </c>
      <c r="AG12" s="44">
        <f>F12+K12+P12+U12+Z12+AE12</f>
        <v/>
      </c>
    </row>
    <row r="13">
      <c r="A13" s="46" t="n">
        <v>6</v>
      </c>
      <c r="B13" s="47">
        <f>EDATE(Plan!$C$18,5)</f>
        <v/>
      </c>
      <c r="C13" s="48">
        <f>F12</f>
        <v/>
      </c>
      <c r="D13" s="49">
        <f>IF(C13&gt;0,C13*Plan!$D$23/100/12,0)</f>
        <v/>
      </c>
      <c r="E13" s="48">
        <f>IF(C13&lt;=0,0,MIN(C13+D13,Plan!$E$23+(Plan!$C$17+IF(C13&lt;=0,Plan!$E$23,MAX(0,Plan!$E$23-(C13+D13)))+IF(H13&lt;=0,Plan!$E$24,MAX(0,Plan!$E$24-(H13+I13)))+IF(M13&lt;=0,Plan!$E$25,MAX(0,Plan!$E$25-(M13+N13)))+IF(R13&lt;=0,Plan!$E$26,MAX(0,Plan!$E$26-(R13+S13)))+IF(W13&lt;=0,Plan!$E$27,MAX(0,Plan!$E$27-(W13+X13)))+IF(AB13&lt;=0,Plan!$E$28,MAX(0,Plan!$E$28-(AB13+AC13))))))</f>
        <v/>
      </c>
      <c r="F13" s="50">
        <f>MAX(0,C13+D13-E13)</f>
        <v/>
      </c>
      <c r="G13" s="51">
        <f>(Plan!$C$17+IF(C13&lt;=0,Plan!$E$23,MAX(0,Plan!$E$23-(C13+D13)))+IF(H13&lt;=0,Plan!$E$24,MAX(0,Plan!$E$24-(H13+I13)))+IF(M13&lt;=0,Plan!$E$25,MAX(0,Plan!$E$25-(M13+N13)))+IF(R13&lt;=0,Plan!$E$26,MAX(0,Plan!$E$26-(R13+S13)))+IF(W13&lt;=0,Plan!$E$27,MAX(0,Plan!$E$27-(W13+X13)))+IF(AB13&lt;=0,Plan!$E$28,MAX(0,Plan!$E$28-(AB13+AC13))))-IF(C13&lt;=0,0,MAX(0,E13-Plan!$E$23))</f>
        <v/>
      </c>
      <c r="H13" s="48">
        <f>K12</f>
        <v/>
      </c>
      <c r="I13" s="49">
        <f>IF(H13&gt;0,H13*Plan!$D$24/100/12,0)</f>
        <v/>
      </c>
      <c r="J13" s="48">
        <f>IF(H13&lt;=0,0,MIN(H13+I13,Plan!$E$24+G13))</f>
        <v/>
      </c>
      <c r="K13" s="50">
        <f>MAX(0,H13+I13-J13)</f>
        <v/>
      </c>
      <c r="L13" s="51">
        <f>G13-IF(H13&lt;=0,0,MAX(0,J13-Plan!$E$24))</f>
        <v/>
      </c>
      <c r="M13" s="48">
        <f>P12</f>
        <v/>
      </c>
      <c r="N13" s="49">
        <f>IF(M13&gt;0,M13*Plan!$D$25/100/12,0)</f>
        <v/>
      </c>
      <c r="O13" s="48">
        <f>IF(M13&lt;=0,0,MIN(M13+N13,Plan!$E$25+L13))</f>
        <v/>
      </c>
      <c r="P13" s="50">
        <f>MAX(0,M13+N13-O13)</f>
        <v/>
      </c>
      <c r="Q13" s="51">
        <f>L13-IF(M13&lt;=0,0,MAX(0,O13-Plan!$E$25))</f>
        <v/>
      </c>
      <c r="R13" s="48">
        <f>U12</f>
        <v/>
      </c>
      <c r="S13" s="49">
        <f>IF(R13&gt;0,R13*Plan!$D$26/100/12,0)</f>
        <v/>
      </c>
      <c r="T13" s="48">
        <f>IF(R13&lt;=0,0,MIN(R13+S13,Plan!$E$26+Q13))</f>
        <v/>
      </c>
      <c r="U13" s="50">
        <f>MAX(0,R13+S13-T13)</f>
        <v/>
      </c>
      <c r="V13" s="51">
        <f>Q13-IF(R13&lt;=0,0,MAX(0,T13-Plan!$E$26))</f>
        <v/>
      </c>
      <c r="W13" s="48">
        <f>Z12</f>
        <v/>
      </c>
      <c r="X13" s="49">
        <f>IF(W13&gt;0,W13*Plan!$D$27/100/12,0)</f>
        <v/>
      </c>
      <c r="Y13" s="48">
        <f>IF(W13&lt;=0,0,MIN(W13+X13,Plan!$E$27+V13))</f>
        <v/>
      </c>
      <c r="Z13" s="50">
        <f>MAX(0,W13+X13-Y13)</f>
        <v/>
      </c>
      <c r="AA13" s="51">
        <f>V13-IF(W13&lt;=0,0,MAX(0,Y13-Plan!$E$27))</f>
        <v/>
      </c>
      <c r="AB13" s="48">
        <f>AE12</f>
        <v/>
      </c>
      <c r="AC13" s="49">
        <f>IF(AB13&gt;0,AB13*Plan!$D$28/100/12,0)</f>
        <v/>
      </c>
      <c r="AD13" s="48">
        <f>IF(AB13&lt;=0,0,MIN(AB13+AC13,Plan!$E$28+AA13))</f>
        <v/>
      </c>
      <c r="AE13" s="50">
        <f>MAX(0,AB13+AC13-AD13)</f>
        <v/>
      </c>
      <c r="AF13" s="51">
        <f>AA13-IF(AB13&lt;=0,0,MAX(0,AD13-Plan!$E$28))</f>
        <v/>
      </c>
      <c r="AG13" s="50">
        <f>F13+K13+P13+U13+Z13+AE13</f>
        <v/>
      </c>
    </row>
    <row r="14">
      <c r="A14" s="40" t="n">
        <v>7</v>
      </c>
      <c r="B14" s="41">
        <f>EDATE(Plan!$C$18,6)</f>
        <v/>
      </c>
      <c r="C14" s="42">
        <f>F13</f>
        <v/>
      </c>
      <c r="D14" s="43">
        <f>IF(C14&gt;0,C14*Plan!$D$23/100/12,0)</f>
        <v/>
      </c>
      <c r="E14" s="42">
        <f>IF(C14&lt;=0,0,MIN(C14+D14,Plan!$E$23+(Plan!$C$17+IF(C14&lt;=0,Plan!$E$23,MAX(0,Plan!$E$23-(C14+D14)))+IF(H14&lt;=0,Plan!$E$24,MAX(0,Plan!$E$24-(H14+I14)))+IF(M14&lt;=0,Plan!$E$25,MAX(0,Plan!$E$25-(M14+N14)))+IF(R14&lt;=0,Plan!$E$26,MAX(0,Plan!$E$26-(R14+S14)))+IF(W14&lt;=0,Plan!$E$27,MAX(0,Plan!$E$27-(W14+X14)))+IF(AB14&lt;=0,Plan!$E$28,MAX(0,Plan!$E$28-(AB14+AC14))))))</f>
        <v/>
      </c>
      <c r="F14" s="44">
        <f>MAX(0,C14+D14-E14)</f>
        <v/>
      </c>
      <c r="G14" s="45">
        <f>(Plan!$C$17+IF(C14&lt;=0,Plan!$E$23,MAX(0,Plan!$E$23-(C14+D14)))+IF(H14&lt;=0,Plan!$E$24,MAX(0,Plan!$E$24-(H14+I14)))+IF(M14&lt;=0,Plan!$E$25,MAX(0,Plan!$E$25-(M14+N14)))+IF(R14&lt;=0,Plan!$E$26,MAX(0,Plan!$E$26-(R14+S14)))+IF(W14&lt;=0,Plan!$E$27,MAX(0,Plan!$E$27-(W14+X14)))+IF(AB14&lt;=0,Plan!$E$28,MAX(0,Plan!$E$28-(AB14+AC14))))-IF(C14&lt;=0,0,MAX(0,E14-Plan!$E$23))</f>
        <v/>
      </c>
      <c r="H14" s="42">
        <f>K13</f>
        <v/>
      </c>
      <c r="I14" s="43">
        <f>IF(H14&gt;0,H14*Plan!$D$24/100/12,0)</f>
        <v/>
      </c>
      <c r="J14" s="42">
        <f>IF(H14&lt;=0,0,MIN(H14+I14,Plan!$E$24+G14))</f>
        <v/>
      </c>
      <c r="K14" s="44">
        <f>MAX(0,H14+I14-J14)</f>
        <v/>
      </c>
      <c r="L14" s="45">
        <f>G14-IF(H14&lt;=0,0,MAX(0,J14-Plan!$E$24))</f>
        <v/>
      </c>
      <c r="M14" s="42">
        <f>P13</f>
        <v/>
      </c>
      <c r="N14" s="43">
        <f>IF(M14&gt;0,M14*Plan!$D$25/100/12,0)</f>
        <v/>
      </c>
      <c r="O14" s="42">
        <f>IF(M14&lt;=0,0,MIN(M14+N14,Plan!$E$25+L14))</f>
        <v/>
      </c>
      <c r="P14" s="44">
        <f>MAX(0,M14+N14-O14)</f>
        <v/>
      </c>
      <c r="Q14" s="45">
        <f>L14-IF(M14&lt;=0,0,MAX(0,O14-Plan!$E$25))</f>
        <v/>
      </c>
      <c r="R14" s="42">
        <f>U13</f>
        <v/>
      </c>
      <c r="S14" s="43">
        <f>IF(R14&gt;0,R14*Plan!$D$26/100/12,0)</f>
        <v/>
      </c>
      <c r="T14" s="42">
        <f>IF(R14&lt;=0,0,MIN(R14+S14,Plan!$E$26+Q14))</f>
        <v/>
      </c>
      <c r="U14" s="44">
        <f>MAX(0,R14+S14-T14)</f>
        <v/>
      </c>
      <c r="V14" s="45">
        <f>Q14-IF(R14&lt;=0,0,MAX(0,T14-Plan!$E$26))</f>
        <v/>
      </c>
      <c r="W14" s="42">
        <f>Z13</f>
        <v/>
      </c>
      <c r="X14" s="43">
        <f>IF(W14&gt;0,W14*Plan!$D$27/100/12,0)</f>
        <v/>
      </c>
      <c r="Y14" s="42">
        <f>IF(W14&lt;=0,0,MIN(W14+X14,Plan!$E$27+V14))</f>
        <v/>
      </c>
      <c r="Z14" s="44">
        <f>MAX(0,W14+X14-Y14)</f>
        <v/>
      </c>
      <c r="AA14" s="45">
        <f>V14-IF(W14&lt;=0,0,MAX(0,Y14-Plan!$E$27))</f>
        <v/>
      </c>
      <c r="AB14" s="42">
        <f>AE13</f>
        <v/>
      </c>
      <c r="AC14" s="43">
        <f>IF(AB14&gt;0,AB14*Plan!$D$28/100/12,0)</f>
        <v/>
      </c>
      <c r="AD14" s="42">
        <f>IF(AB14&lt;=0,0,MIN(AB14+AC14,Plan!$E$28+AA14))</f>
        <v/>
      </c>
      <c r="AE14" s="44">
        <f>MAX(0,AB14+AC14-AD14)</f>
        <v/>
      </c>
      <c r="AF14" s="45">
        <f>AA14-IF(AB14&lt;=0,0,MAX(0,AD14-Plan!$E$28))</f>
        <v/>
      </c>
      <c r="AG14" s="44">
        <f>F14+K14+P14+U14+Z14+AE14</f>
        <v/>
      </c>
    </row>
    <row r="15">
      <c r="A15" s="46" t="n">
        <v>8</v>
      </c>
      <c r="B15" s="47">
        <f>EDATE(Plan!$C$18,7)</f>
        <v/>
      </c>
      <c r="C15" s="48">
        <f>F14</f>
        <v/>
      </c>
      <c r="D15" s="49">
        <f>IF(C15&gt;0,C15*Plan!$D$23/100/12,0)</f>
        <v/>
      </c>
      <c r="E15" s="48">
        <f>IF(C15&lt;=0,0,MIN(C15+D15,Plan!$E$23+(Plan!$C$17+IF(C15&lt;=0,Plan!$E$23,MAX(0,Plan!$E$23-(C15+D15)))+IF(H15&lt;=0,Plan!$E$24,MAX(0,Plan!$E$24-(H15+I15)))+IF(M15&lt;=0,Plan!$E$25,MAX(0,Plan!$E$25-(M15+N15)))+IF(R15&lt;=0,Plan!$E$26,MAX(0,Plan!$E$26-(R15+S15)))+IF(W15&lt;=0,Plan!$E$27,MAX(0,Plan!$E$27-(W15+X15)))+IF(AB15&lt;=0,Plan!$E$28,MAX(0,Plan!$E$28-(AB15+AC15))))))</f>
        <v/>
      </c>
      <c r="F15" s="50">
        <f>MAX(0,C15+D15-E15)</f>
        <v/>
      </c>
      <c r="G15" s="51">
        <f>(Plan!$C$17+IF(C15&lt;=0,Plan!$E$23,MAX(0,Plan!$E$23-(C15+D15)))+IF(H15&lt;=0,Plan!$E$24,MAX(0,Plan!$E$24-(H15+I15)))+IF(M15&lt;=0,Plan!$E$25,MAX(0,Plan!$E$25-(M15+N15)))+IF(R15&lt;=0,Plan!$E$26,MAX(0,Plan!$E$26-(R15+S15)))+IF(W15&lt;=0,Plan!$E$27,MAX(0,Plan!$E$27-(W15+X15)))+IF(AB15&lt;=0,Plan!$E$28,MAX(0,Plan!$E$28-(AB15+AC15))))-IF(C15&lt;=0,0,MAX(0,E15-Plan!$E$23))</f>
        <v/>
      </c>
      <c r="H15" s="48">
        <f>K14</f>
        <v/>
      </c>
      <c r="I15" s="49">
        <f>IF(H15&gt;0,H15*Plan!$D$24/100/12,0)</f>
        <v/>
      </c>
      <c r="J15" s="48">
        <f>IF(H15&lt;=0,0,MIN(H15+I15,Plan!$E$24+G15))</f>
        <v/>
      </c>
      <c r="K15" s="50">
        <f>MAX(0,H15+I15-J15)</f>
        <v/>
      </c>
      <c r="L15" s="51">
        <f>G15-IF(H15&lt;=0,0,MAX(0,J15-Plan!$E$24))</f>
        <v/>
      </c>
      <c r="M15" s="48">
        <f>P14</f>
        <v/>
      </c>
      <c r="N15" s="49">
        <f>IF(M15&gt;0,M15*Plan!$D$25/100/12,0)</f>
        <v/>
      </c>
      <c r="O15" s="48">
        <f>IF(M15&lt;=0,0,MIN(M15+N15,Plan!$E$25+L15))</f>
        <v/>
      </c>
      <c r="P15" s="50">
        <f>MAX(0,M15+N15-O15)</f>
        <v/>
      </c>
      <c r="Q15" s="51">
        <f>L15-IF(M15&lt;=0,0,MAX(0,O15-Plan!$E$25))</f>
        <v/>
      </c>
      <c r="R15" s="48">
        <f>U14</f>
        <v/>
      </c>
      <c r="S15" s="49">
        <f>IF(R15&gt;0,R15*Plan!$D$26/100/12,0)</f>
        <v/>
      </c>
      <c r="T15" s="48">
        <f>IF(R15&lt;=0,0,MIN(R15+S15,Plan!$E$26+Q15))</f>
        <v/>
      </c>
      <c r="U15" s="50">
        <f>MAX(0,R15+S15-T15)</f>
        <v/>
      </c>
      <c r="V15" s="51">
        <f>Q15-IF(R15&lt;=0,0,MAX(0,T15-Plan!$E$26))</f>
        <v/>
      </c>
      <c r="W15" s="48">
        <f>Z14</f>
        <v/>
      </c>
      <c r="X15" s="49">
        <f>IF(W15&gt;0,W15*Plan!$D$27/100/12,0)</f>
        <v/>
      </c>
      <c r="Y15" s="48">
        <f>IF(W15&lt;=0,0,MIN(W15+X15,Plan!$E$27+V15))</f>
        <v/>
      </c>
      <c r="Z15" s="50">
        <f>MAX(0,W15+X15-Y15)</f>
        <v/>
      </c>
      <c r="AA15" s="51">
        <f>V15-IF(W15&lt;=0,0,MAX(0,Y15-Plan!$E$27))</f>
        <v/>
      </c>
      <c r="AB15" s="48">
        <f>AE14</f>
        <v/>
      </c>
      <c r="AC15" s="49">
        <f>IF(AB15&gt;0,AB15*Plan!$D$28/100/12,0)</f>
        <v/>
      </c>
      <c r="AD15" s="48">
        <f>IF(AB15&lt;=0,0,MIN(AB15+AC15,Plan!$E$28+AA15))</f>
        <v/>
      </c>
      <c r="AE15" s="50">
        <f>MAX(0,AB15+AC15-AD15)</f>
        <v/>
      </c>
      <c r="AF15" s="51">
        <f>AA15-IF(AB15&lt;=0,0,MAX(0,AD15-Plan!$E$28))</f>
        <v/>
      </c>
      <c r="AG15" s="50">
        <f>F15+K15+P15+U15+Z15+AE15</f>
        <v/>
      </c>
    </row>
    <row r="16">
      <c r="A16" s="40" t="n">
        <v>9</v>
      </c>
      <c r="B16" s="41">
        <f>EDATE(Plan!$C$18,8)</f>
        <v/>
      </c>
      <c r="C16" s="42">
        <f>F15</f>
        <v/>
      </c>
      <c r="D16" s="43">
        <f>IF(C16&gt;0,C16*Plan!$D$23/100/12,0)</f>
        <v/>
      </c>
      <c r="E16" s="42">
        <f>IF(C16&lt;=0,0,MIN(C16+D16,Plan!$E$23+(Plan!$C$17+IF(C16&lt;=0,Plan!$E$23,MAX(0,Plan!$E$23-(C16+D16)))+IF(H16&lt;=0,Plan!$E$24,MAX(0,Plan!$E$24-(H16+I16)))+IF(M16&lt;=0,Plan!$E$25,MAX(0,Plan!$E$25-(M16+N16)))+IF(R16&lt;=0,Plan!$E$26,MAX(0,Plan!$E$26-(R16+S16)))+IF(W16&lt;=0,Plan!$E$27,MAX(0,Plan!$E$27-(W16+X16)))+IF(AB16&lt;=0,Plan!$E$28,MAX(0,Plan!$E$28-(AB16+AC16))))))</f>
        <v/>
      </c>
      <c r="F16" s="44">
        <f>MAX(0,C16+D16-E16)</f>
        <v/>
      </c>
      <c r="G16" s="45">
        <f>(Plan!$C$17+IF(C16&lt;=0,Plan!$E$23,MAX(0,Plan!$E$23-(C16+D16)))+IF(H16&lt;=0,Plan!$E$24,MAX(0,Plan!$E$24-(H16+I16)))+IF(M16&lt;=0,Plan!$E$25,MAX(0,Plan!$E$25-(M16+N16)))+IF(R16&lt;=0,Plan!$E$26,MAX(0,Plan!$E$26-(R16+S16)))+IF(W16&lt;=0,Plan!$E$27,MAX(0,Plan!$E$27-(W16+X16)))+IF(AB16&lt;=0,Plan!$E$28,MAX(0,Plan!$E$28-(AB16+AC16))))-IF(C16&lt;=0,0,MAX(0,E16-Plan!$E$23))</f>
        <v/>
      </c>
      <c r="H16" s="42">
        <f>K15</f>
        <v/>
      </c>
      <c r="I16" s="43">
        <f>IF(H16&gt;0,H16*Plan!$D$24/100/12,0)</f>
        <v/>
      </c>
      <c r="J16" s="42">
        <f>IF(H16&lt;=0,0,MIN(H16+I16,Plan!$E$24+G16))</f>
        <v/>
      </c>
      <c r="K16" s="44">
        <f>MAX(0,H16+I16-J16)</f>
        <v/>
      </c>
      <c r="L16" s="45">
        <f>G16-IF(H16&lt;=0,0,MAX(0,J16-Plan!$E$24))</f>
        <v/>
      </c>
      <c r="M16" s="42">
        <f>P15</f>
        <v/>
      </c>
      <c r="N16" s="43">
        <f>IF(M16&gt;0,M16*Plan!$D$25/100/12,0)</f>
        <v/>
      </c>
      <c r="O16" s="42">
        <f>IF(M16&lt;=0,0,MIN(M16+N16,Plan!$E$25+L16))</f>
        <v/>
      </c>
      <c r="P16" s="44">
        <f>MAX(0,M16+N16-O16)</f>
        <v/>
      </c>
      <c r="Q16" s="45">
        <f>L16-IF(M16&lt;=0,0,MAX(0,O16-Plan!$E$25))</f>
        <v/>
      </c>
      <c r="R16" s="42">
        <f>U15</f>
        <v/>
      </c>
      <c r="S16" s="43">
        <f>IF(R16&gt;0,R16*Plan!$D$26/100/12,0)</f>
        <v/>
      </c>
      <c r="T16" s="42">
        <f>IF(R16&lt;=0,0,MIN(R16+S16,Plan!$E$26+Q16))</f>
        <v/>
      </c>
      <c r="U16" s="44">
        <f>MAX(0,R16+S16-T16)</f>
        <v/>
      </c>
      <c r="V16" s="45">
        <f>Q16-IF(R16&lt;=0,0,MAX(0,T16-Plan!$E$26))</f>
        <v/>
      </c>
      <c r="W16" s="42">
        <f>Z15</f>
        <v/>
      </c>
      <c r="X16" s="43">
        <f>IF(W16&gt;0,W16*Plan!$D$27/100/12,0)</f>
        <v/>
      </c>
      <c r="Y16" s="42">
        <f>IF(W16&lt;=0,0,MIN(W16+X16,Plan!$E$27+V16))</f>
        <v/>
      </c>
      <c r="Z16" s="44">
        <f>MAX(0,W16+X16-Y16)</f>
        <v/>
      </c>
      <c r="AA16" s="45">
        <f>V16-IF(W16&lt;=0,0,MAX(0,Y16-Plan!$E$27))</f>
        <v/>
      </c>
      <c r="AB16" s="42">
        <f>AE15</f>
        <v/>
      </c>
      <c r="AC16" s="43">
        <f>IF(AB16&gt;0,AB16*Plan!$D$28/100/12,0)</f>
        <v/>
      </c>
      <c r="AD16" s="42">
        <f>IF(AB16&lt;=0,0,MIN(AB16+AC16,Plan!$E$28+AA16))</f>
        <v/>
      </c>
      <c r="AE16" s="44">
        <f>MAX(0,AB16+AC16-AD16)</f>
        <v/>
      </c>
      <c r="AF16" s="45">
        <f>AA16-IF(AB16&lt;=0,0,MAX(0,AD16-Plan!$E$28))</f>
        <v/>
      </c>
      <c r="AG16" s="44">
        <f>F16+K16+P16+U16+Z16+AE16</f>
        <v/>
      </c>
    </row>
    <row r="17">
      <c r="A17" s="46" t="n">
        <v>10</v>
      </c>
      <c r="B17" s="47">
        <f>EDATE(Plan!$C$18,9)</f>
        <v/>
      </c>
      <c r="C17" s="48">
        <f>F16</f>
        <v/>
      </c>
      <c r="D17" s="49">
        <f>IF(C17&gt;0,C17*Plan!$D$23/100/12,0)</f>
        <v/>
      </c>
      <c r="E17" s="48">
        <f>IF(C17&lt;=0,0,MIN(C17+D17,Plan!$E$23+(Plan!$C$17+IF(C17&lt;=0,Plan!$E$23,MAX(0,Plan!$E$23-(C17+D17)))+IF(H17&lt;=0,Plan!$E$24,MAX(0,Plan!$E$24-(H17+I17)))+IF(M17&lt;=0,Plan!$E$25,MAX(0,Plan!$E$25-(M17+N17)))+IF(R17&lt;=0,Plan!$E$26,MAX(0,Plan!$E$26-(R17+S17)))+IF(W17&lt;=0,Plan!$E$27,MAX(0,Plan!$E$27-(W17+X17)))+IF(AB17&lt;=0,Plan!$E$28,MAX(0,Plan!$E$28-(AB17+AC17))))))</f>
        <v/>
      </c>
      <c r="F17" s="50">
        <f>MAX(0,C17+D17-E17)</f>
        <v/>
      </c>
      <c r="G17" s="51">
        <f>(Plan!$C$17+IF(C17&lt;=0,Plan!$E$23,MAX(0,Plan!$E$23-(C17+D17)))+IF(H17&lt;=0,Plan!$E$24,MAX(0,Plan!$E$24-(H17+I17)))+IF(M17&lt;=0,Plan!$E$25,MAX(0,Plan!$E$25-(M17+N17)))+IF(R17&lt;=0,Plan!$E$26,MAX(0,Plan!$E$26-(R17+S17)))+IF(W17&lt;=0,Plan!$E$27,MAX(0,Plan!$E$27-(W17+X17)))+IF(AB17&lt;=0,Plan!$E$28,MAX(0,Plan!$E$28-(AB17+AC17))))-IF(C17&lt;=0,0,MAX(0,E17-Plan!$E$23))</f>
        <v/>
      </c>
      <c r="H17" s="48">
        <f>K16</f>
        <v/>
      </c>
      <c r="I17" s="49">
        <f>IF(H17&gt;0,H17*Plan!$D$24/100/12,0)</f>
        <v/>
      </c>
      <c r="J17" s="48">
        <f>IF(H17&lt;=0,0,MIN(H17+I17,Plan!$E$24+G17))</f>
        <v/>
      </c>
      <c r="K17" s="50">
        <f>MAX(0,H17+I17-J17)</f>
        <v/>
      </c>
      <c r="L17" s="51">
        <f>G17-IF(H17&lt;=0,0,MAX(0,J17-Plan!$E$24))</f>
        <v/>
      </c>
      <c r="M17" s="48">
        <f>P16</f>
        <v/>
      </c>
      <c r="N17" s="49">
        <f>IF(M17&gt;0,M17*Plan!$D$25/100/12,0)</f>
        <v/>
      </c>
      <c r="O17" s="48">
        <f>IF(M17&lt;=0,0,MIN(M17+N17,Plan!$E$25+L17))</f>
        <v/>
      </c>
      <c r="P17" s="50">
        <f>MAX(0,M17+N17-O17)</f>
        <v/>
      </c>
      <c r="Q17" s="51">
        <f>L17-IF(M17&lt;=0,0,MAX(0,O17-Plan!$E$25))</f>
        <v/>
      </c>
      <c r="R17" s="48">
        <f>U16</f>
        <v/>
      </c>
      <c r="S17" s="49">
        <f>IF(R17&gt;0,R17*Plan!$D$26/100/12,0)</f>
        <v/>
      </c>
      <c r="T17" s="48">
        <f>IF(R17&lt;=0,0,MIN(R17+S17,Plan!$E$26+Q17))</f>
        <v/>
      </c>
      <c r="U17" s="50">
        <f>MAX(0,R17+S17-T17)</f>
        <v/>
      </c>
      <c r="V17" s="51">
        <f>Q17-IF(R17&lt;=0,0,MAX(0,T17-Plan!$E$26))</f>
        <v/>
      </c>
      <c r="W17" s="48">
        <f>Z16</f>
        <v/>
      </c>
      <c r="X17" s="49">
        <f>IF(W17&gt;0,W17*Plan!$D$27/100/12,0)</f>
        <v/>
      </c>
      <c r="Y17" s="48">
        <f>IF(W17&lt;=0,0,MIN(W17+X17,Plan!$E$27+V17))</f>
        <v/>
      </c>
      <c r="Z17" s="50">
        <f>MAX(0,W17+X17-Y17)</f>
        <v/>
      </c>
      <c r="AA17" s="51">
        <f>V17-IF(W17&lt;=0,0,MAX(0,Y17-Plan!$E$27))</f>
        <v/>
      </c>
      <c r="AB17" s="48">
        <f>AE16</f>
        <v/>
      </c>
      <c r="AC17" s="49">
        <f>IF(AB17&gt;0,AB17*Plan!$D$28/100/12,0)</f>
        <v/>
      </c>
      <c r="AD17" s="48">
        <f>IF(AB17&lt;=0,0,MIN(AB17+AC17,Plan!$E$28+AA17))</f>
        <v/>
      </c>
      <c r="AE17" s="50">
        <f>MAX(0,AB17+AC17-AD17)</f>
        <v/>
      </c>
      <c r="AF17" s="51">
        <f>AA17-IF(AB17&lt;=0,0,MAX(0,AD17-Plan!$E$28))</f>
        <v/>
      </c>
      <c r="AG17" s="50">
        <f>F17+K17+P17+U17+Z17+AE17</f>
        <v/>
      </c>
    </row>
    <row r="18">
      <c r="A18" s="40" t="n">
        <v>11</v>
      </c>
      <c r="B18" s="41">
        <f>EDATE(Plan!$C$18,10)</f>
        <v/>
      </c>
      <c r="C18" s="42">
        <f>F17</f>
        <v/>
      </c>
      <c r="D18" s="43">
        <f>IF(C18&gt;0,C18*Plan!$D$23/100/12,0)</f>
        <v/>
      </c>
      <c r="E18" s="42">
        <f>IF(C18&lt;=0,0,MIN(C18+D18,Plan!$E$23+(Plan!$C$17+IF(C18&lt;=0,Plan!$E$23,MAX(0,Plan!$E$23-(C18+D18)))+IF(H18&lt;=0,Plan!$E$24,MAX(0,Plan!$E$24-(H18+I18)))+IF(M18&lt;=0,Plan!$E$25,MAX(0,Plan!$E$25-(M18+N18)))+IF(R18&lt;=0,Plan!$E$26,MAX(0,Plan!$E$26-(R18+S18)))+IF(W18&lt;=0,Plan!$E$27,MAX(0,Plan!$E$27-(W18+X18)))+IF(AB18&lt;=0,Plan!$E$28,MAX(0,Plan!$E$28-(AB18+AC18))))))</f>
        <v/>
      </c>
      <c r="F18" s="44">
        <f>MAX(0,C18+D18-E18)</f>
        <v/>
      </c>
      <c r="G18" s="45">
        <f>(Plan!$C$17+IF(C18&lt;=0,Plan!$E$23,MAX(0,Plan!$E$23-(C18+D18)))+IF(H18&lt;=0,Plan!$E$24,MAX(0,Plan!$E$24-(H18+I18)))+IF(M18&lt;=0,Plan!$E$25,MAX(0,Plan!$E$25-(M18+N18)))+IF(R18&lt;=0,Plan!$E$26,MAX(0,Plan!$E$26-(R18+S18)))+IF(W18&lt;=0,Plan!$E$27,MAX(0,Plan!$E$27-(W18+X18)))+IF(AB18&lt;=0,Plan!$E$28,MAX(0,Plan!$E$28-(AB18+AC18))))-IF(C18&lt;=0,0,MAX(0,E18-Plan!$E$23))</f>
        <v/>
      </c>
      <c r="H18" s="42">
        <f>K17</f>
        <v/>
      </c>
      <c r="I18" s="43">
        <f>IF(H18&gt;0,H18*Plan!$D$24/100/12,0)</f>
        <v/>
      </c>
      <c r="J18" s="42">
        <f>IF(H18&lt;=0,0,MIN(H18+I18,Plan!$E$24+G18))</f>
        <v/>
      </c>
      <c r="K18" s="44">
        <f>MAX(0,H18+I18-J18)</f>
        <v/>
      </c>
      <c r="L18" s="45">
        <f>G18-IF(H18&lt;=0,0,MAX(0,J18-Plan!$E$24))</f>
        <v/>
      </c>
      <c r="M18" s="42">
        <f>P17</f>
        <v/>
      </c>
      <c r="N18" s="43">
        <f>IF(M18&gt;0,M18*Plan!$D$25/100/12,0)</f>
        <v/>
      </c>
      <c r="O18" s="42">
        <f>IF(M18&lt;=0,0,MIN(M18+N18,Plan!$E$25+L18))</f>
        <v/>
      </c>
      <c r="P18" s="44">
        <f>MAX(0,M18+N18-O18)</f>
        <v/>
      </c>
      <c r="Q18" s="45">
        <f>L18-IF(M18&lt;=0,0,MAX(0,O18-Plan!$E$25))</f>
        <v/>
      </c>
      <c r="R18" s="42">
        <f>U17</f>
        <v/>
      </c>
      <c r="S18" s="43">
        <f>IF(R18&gt;0,R18*Plan!$D$26/100/12,0)</f>
        <v/>
      </c>
      <c r="T18" s="42">
        <f>IF(R18&lt;=0,0,MIN(R18+S18,Plan!$E$26+Q18))</f>
        <v/>
      </c>
      <c r="U18" s="44">
        <f>MAX(0,R18+S18-T18)</f>
        <v/>
      </c>
      <c r="V18" s="45">
        <f>Q18-IF(R18&lt;=0,0,MAX(0,T18-Plan!$E$26))</f>
        <v/>
      </c>
      <c r="W18" s="42">
        <f>Z17</f>
        <v/>
      </c>
      <c r="X18" s="43">
        <f>IF(W18&gt;0,W18*Plan!$D$27/100/12,0)</f>
        <v/>
      </c>
      <c r="Y18" s="42">
        <f>IF(W18&lt;=0,0,MIN(W18+X18,Plan!$E$27+V18))</f>
        <v/>
      </c>
      <c r="Z18" s="44">
        <f>MAX(0,W18+X18-Y18)</f>
        <v/>
      </c>
      <c r="AA18" s="45">
        <f>V18-IF(W18&lt;=0,0,MAX(0,Y18-Plan!$E$27))</f>
        <v/>
      </c>
      <c r="AB18" s="42">
        <f>AE17</f>
        <v/>
      </c>
      <c r="AC18" s="43">
        <f>IF(AB18&gt;0,AB18*Plan!$D$28/100/12,0)</f>
        <v/>
      </c>
      <c r="AD18" s="42">
        <f>IF(AB18&lt;=0,0,MIN(AB18+AC18,Plan!$E$28+AA18))</f>
        <v/>
      </c>
      <c r="AE18" s="44">
        <f>MAX(0,AB18+AC18-AD18)</f>
        <v/>
      </c>
      <c r="AF18" s="45">
        <f>AA18-IF(AB18&lt;=0,0,MAX(0,AD18-Plan!$E$28))</f>
        <v/>
      </c>
      <c r="AG18" s="44">
        <f>F18+K18+P18+U18+Z18+AE18</f>
        <v/>
      </c>
    </row>
    <row r="19">
      <c r="A19" s="46" t="n">
        <v>12</v>
      </c>
      <c r="B19" s="47">
        <f>EDATE(Plan!$C$18,11)</f>
        <v/>
      </c>
      <c r="C19" s="48">
        <f>F18</f>
        <v/>
      </c>
      <c r="D19" s="49">
        <f>IF(C19&gt;0,C19*Plan!$D$23/100/12,0)</f>
        <v/>
      </c>
      <c r="E19" s="48">
        <f>IF(C19&lt;=0,0,MIN(C19+D19,Plan!$E$23+(Plan!$C$17+IF(C19&lt;=0,Plan!$E$23,MAX(0,Plan!$E$23-(C19+D19)))+IF(H19&lt;=0,Plan!$E$24,MAX(0,Plan!$E$24-(H19+I19)))+IF(M19&lt;=0,Plan!$E$25,MAX(0,Plan!$E$25-(M19+N19)))+IF(R19&lt;=0,Plan!$E$26,MAX(0,Plan!$E$26-(R19+S19)))+IF(W19&lt;=0,Plan!$E$27,MAX(0,Plan!$E$27-(W19+X19)))+IF(AB19&lt;=0,Plan!$E$28,MAX(0,Plan!$E$28-(AB19+AC19))))))</f>
        <v/>
      </c>
      <c r="F19" s="50">
        <f>MAX(0,C19+D19-E19)</f>
        <v/>
      </c>
      <c r="G19" s="51">
        <f>(Plan!$C$17+IF(C19&lt;=0,Plan!$E$23,MAX(0,Plan!$E$23-(C19+D19)))+IF(H19&lt;=0,Plan!$E$24,MAX(0,Plan!$E$24-(H19+I19)))+IF(M19&lt;=0,Plan!$E$25,MAX(0,Plan!$E$25-(M19+N19)))+IF(R19&lt;=0,Plan!$E$26,MAX(0,Plan!$E$26-(R19+S19)))+IF(W19&lt;=0,Plan!$E$27,MAX(0,Plan!$E$27-(W19+X19)))+IF(AB19&lt;=0,Plan!$E$28,MAX(0,Plan!$E$28-(AB19+AC19))))-IF(C19&lt;=0,0,MAX(0,E19-Plan!$E$23))</f>
        <v/>
      </c>
      <c r="H19" s="48">
        <f>K18</f>
        <v/>
      </c>
      <c r="I19" s="49">
        <f>IF(H19&gt;0,H19*Plan!$D$24/100/12,0)</f>
        <v/>
      </c>
      <c r="J19" s="48">
        <f>IF(H19&lt;=0,0,MIN(H19+I19,Plan!$E$24+G19))</f>
        <v/>
      </c>
      <c r="K19" s="50">
        <f>MAX(0,H19+I19-J19)</f>
        <v/>
      </c>
      <c r="L19" s="51">
        <f>G19-IF(H19&lt;=0,0,MAX(0,J19-Plan!$E$24))</f>
        <v/>
      </c>
      <c r="M19" s="48">
        <f>P18</f>
        <v/>
      </c>
      <c r="N19" s="49">
        <f>IF(M19&gt;0,M19*Plan!$D$25/100/12,0)</f>
        <v/>
      </c>
      <c r="O19" s="48">
        <f>IF(M19&lt;=0,0,MIN(M19+N19,Plan!$E$25+L19))</f>
        <v/>
      </c>
      <c r="P19" s="50">
        <f>MAX(0,M19+N19-O19)</f>
        <v/>
      </c>
      <c r="Q19" s="51">
        <f>L19-IF(M19&lt;=0,0,MAX(0,O19-Plan!$E$25))</f>
        <v/>
      </c>
      <c r="R19" s="48">
        <f>U18</f>
        <v/>
      </c>
      <c r="S19" s="49">
        <f>IF(R19&gt;0,R19*Plan!$D$26/100/12,0)</f>
        <v/>
      </c>
      <c r="T19" s="48">
        <f>IF(R19&lt;=0,0,MIN(R19+S19,Plan!$E$26+Q19))</f>
        <v/>
      </c>
      <c r="U19" s="50">
        <f>MAX(0,R19+S19-T19)</f>
        <v/>
      </c>
      <c r="V19" s="51">
        <f>Q19-IF(R19&lt;=0,0,MAX(0,T19-Plan!$E$26))</f>
        <v/>
      </c>
      <c r="W19" s="48">
        <f>Z18</f>
        <v/>
      </c>
      <c r="X19" s="49">
        <f>IF(W19&gt;0,W19*Plan!$D$27/100/12,0)</f>
        <v/>
      </c>
      <c r="Y19" s="48">
        <f>IF(W19&lt;=0,0,MIN(W19+X19,Plan!$E$27+V19))</f>
        <v/>
      </c>
      <c r="Z19" s="50">
        <f>MAX(0,W19+X19-Y19)</f>
        <v/>
      </c>
      <c r="AA19" s="51">
        <f>V19-IF(W19&lt;=0,0,MAX(0,Y19-Plan!$E$27))</f>
        <v/>
      </c>
      <c r="AB19" s="48">
        <f>AE18</f>
        <v/>
      </c>
      <c r="AC19" s="49">
        <f>IF(AB19&gt;0,AB19*Plan!$D$28/100/12,0)</f>
        <v/>
      </c>
      <c r="AD19" s="48">
        <f>IF(AB19&lt;=0,0,MIN(AB19+AC19,Plan!$E$28+AA19))</f>
        <v/>
      </c>
      <c r="AE19" s="50">
        <f>MAX(0,AB19+AC19-AD19)</f>
        <v/>
      </c>
      <c r="AF19" s="51">
        <f>AA19-IF(AB19&lt;=0,0,MAX(0,AD19-Plan!$E$28))</f>
        <v/>
      </c>
      <c r="AG19" s="50">
        <f>F19+K19+P19+U19+Z19+AE19</f>
        <v/>
      </c>
    </row>
    <row r="20">
      <c r="A20" s="40" t="n">
        <v>13</v>
      </c>
      <c r="B20" s="41">
        <f>EDATE(Plan!$C$18,12)</f>
        <v/>
      </c>
      <c r="C20" s="42">
        <f>F19</f>
        <v/>
      </c>
      <c r="D20" s="43">
        <f>IF(C20&gt;0,C20*Plan!$D$23/100/12,0)</f>
        <v/>
      </c>
      <c r="E20" s="42">
        <f>IF(C20&lt;=0,0,MIN(C20+D20,Plan!$E$23+(Plan!$C$17+IF(C20&lt;=0,Plan!$E$23,MAX(0,Plan!$E$23-(C20+D20)))+IF(H20&lt;=0,Plan!$E$24,MAX(0,Plan!$E$24-(H20+I20)))+IF(M20&lt;=0,Plan!$E$25,MAX(0,Plan!$E$25-(M20+N20)))+IF(R20&lt;=0,Plan!$E$26,MAX(0,Plan!$E$26-(R20+S20)))+IF(W20&lt;=0,Plan!$E$27,MAX(0,Plan!$E$27-(W20+X20)))+IF(AB20&lt;=0,Plan!$E$28,MAX(0,Plan!$E$28-(AB20+AC20))))))</f>
        <v/>
      </c>
      <c r="F20" s="44">
        <f>MAX(0,C20+D20-E20)</f>
        <v/>
      </c>
      <c r="G20" s="45">
        <f>(Plan!$C$17+IF(C20&lt;=0,Plan!$E$23,MAX(0,Plan!$E$23-(C20+D20)))+IF(H20&lt;=0,Plan!$E$24,MAX(0,Plan!$E$24-(H20+I20)))+IF(M20&lt;=0,Plan!$E$25,MAX(0,Plan!$E$25-(M20+N20)))+IF(R20&lt;=0,Plan!$E$26,MAX(0,Plan!$E$26-(R20+S20)))+IF(W20&lt;=0,Plan!$E$27,MAX(0,Plan!$E$27-(W20+X20)))+IF(AB20&lt;=0,Plan!$E$28,MAX(0,Plan!$E$28-(AB20+AC20))))-IF(C20&lt;=0,0,MAX(0,E20-Plan!$E$23))</f>
        <v/>
      </c>
      <c r="H20" s="42">
        <f>K19</f>
        <v/>
      </c>
      <c r="I20" s="43">
        <f>IF(H20&gt;0,H20*Plan!$D$24/100/12,0)</f>
        <v/>
      </c>
      <c r="J20" s="42">
        <f>IF(H20&lt;=0,0,MIN(H20+I20,Plan!$E$24+G20))</f>
        <v/>
      </c>
      <c r="K20" s="44">
        <f>MAX(0,H20+I20-J20)</f>
        <v/>
      </c>
      <c r="L20" s="45">
        <f>G20-IF(H20&lt;=0,0,MAX(0,J20-Plan!$E$24))</f>
        <v/>
      </c>
      <c r="M20" s="42">
        <f>P19</f>
        <v/>
      </c>
      <c r="N20" s="43">
        <f>IF(M20&gt;0,M20*Plan!$D$25/100/12,0)</f>
        <v/>
      </c>
      <c r="O20" s="42">
        <f>IF(M20&lt;=0,0,MIN(M20+N20,Plan!$E$25+L20))</f>
        <v/>
      </c>
      <c r="P20" s="44">
        <f>MAX(0,M20+N20-O20)</f>
        <v/>
      </c>
      <c r="Q20" s="45">
        <f>L20-IF(M20&lt;=0,0,MAX(0,O20-Plan!$E$25))</f>
        <v/>
      </c>
      <c r="R20" s="42">
        <f>U19</f>
        <v/>
      </c>
      <c r="S20" s="43">
        <f>IF(R20&gt;0,R20*Plan!$D$26/100/12,0)</f>
        <v/>
      </c>
      <c r="T20" s="42">
        <f>IF(R20&lt;=0,0,MIN(R20+S20,Plan!$E$26+Q20))</f>
        <v/>
      </c>
      <c r="U20" s="44">
        <f>MAX(0,R20+S20-T20)</f>
        <v/>
      </c>
      <c r="V20" s="45">
        <f>Q20-IF(R20&lt;=0,0,MAX(0,T20-Plan!$E$26))</f>
        <v/>
      </c>
      <c r="W20" s="42">
        <f>Z19</f>
        <v/>
      </c>
      <c r="X20" s="43">
        <f>IF(W20&gt;0,W20*Plan!$D$27/100/12,0)</f>
        <v/>
      </c>
      <c r="Y20" s="42">
        <f>IF(W20&lt;=0,0,MIN(W20+X20,Plan!$E$27+V20))</f>
        <v/>
      </c>
      <c r="Z20" s="44">
        <f>MAX(0,W20+X20-Y20)</f>
        <v/>
      </c>
      <c r="AA20" s="45">
        <f>V20-IF(W20&lt;=0,0,MAX(0,Y20-Plan!$E$27))</f>
        <v/>
      </c>
      <c r="AB20" s="42">
        <f>AE19</f>
        <v/>
      </c>
      <c r="AC20" s="43">
        <f>IF(AB20&gt;0,AB20*Plan!$D$28/100/12,0)</f>
        <v/>
      </c>
      <c r="AD20" s="42">
        <f>IF(AB20&lt;=0,0,MIN(AB20+AC20,Plan!$E$28+AA20))</f>
        <v/>
      </c>
      <c r="AE20" s="44">
        <f>MAX(0,AB20+AC20-AD20)</f>
        <v/>
      </c>
      <c r="AF20" s="45">
        <f>AA20-IF(AB20&lt;=0,0,MAX(0,AD20-Plan!$E$28))</f>
        <v/>
      </c>
      <c r="AG20" s="44">
        <f>F20+K20+P20+U20+Z20+AE20</f>
        <v/>
      </c>
    </row>
    <row r="21">
      <c r="A21" s="46" t="n">
        <v>14</v>
      </c>
      <c r="B21" s="47">
        <f>EDATE(Plan!$C$18,13)</f>
        <v/>
      </c>
      <c r="C21" s="48">
        <f>F20</f>
        <v/>
      </c>
      <c r="D21" s="49">
        <f>IF(C21&gt;0,C21*Plan!$D$23/100/12,0)</f>
        <v/>
      </c>
      <c r="E21" s="48">
        <f>IF(C21&lt;=0,0,MIN(C21+D21,Plan!$E$23+(Plan!$C$17+IF(C21&lt;=0,Plan!$E$23,MAX(0,Plan!$E$23-(C21+D21)))+IF(H21&lt;=0,Plan!$E$24,MAX(0,Plan!$E$24-(H21+I21)))+IF(M21&lt;=0,Plan!$E$25,MAX(0,Plan!$E$25-(M21+N21)))+IF(R21&lt;=0,Plan!$E$26,MAX(0,Plan!$E$26-(R21+S21)))+IF(W21&lt;=0,Plan!$E$27,MAX(0,Plan!$E$27-(W21+X21)))+IF(AB21&lt;=0,Plan!$E$28,MAX(0,Plan!$E$28-(AB21+AC21))))))</f>
        <v/>
      </c>
      <c r="F21" s="50">
        <f>MAX(0,C21+D21-E21)</f>
        <v/>
      </c>
      <c r="G21" s="51">
        <f>(Plan!$C$17+IF(C21&lt;=0,Plan!$E$23,MAX(0,Plan!$E$23-(C21+D21)))+IF(H21&lt;=0,Plan!$E$24,MAX(0,Plan!$E$24-(H21+I21)))+IF(M21&lt;=0,Plan!$E$25,MAX(0,Plan!$E$25-(M21+N21)))+IF(R21&lt;=0,Plan!$E$26,MAX(0,Plan!$E$26-(R21+S21)))+IF(W21&lt;=0,Plan!$E$27,MAX(0,Plan!$E$27-(W21+X21)))+IF(AB21&lt;=0,Plan!$E$28,MAX(0,Plan!$E$28-(AB21+AC21))))-IF(C21&lt;=0,0,MAX(0,E21-Plan!$E$23))</f>
        <v/>
      </c>
      <c r="H21" s="48">
        <f>K20</f>
        <v/>
      </c>
      <c r="I21" s="49">
        <f>IF(H21&gt;0,H21*Plan!$D$24/100/12,0)</f>
        <v/>
      </c>
      <c r="J21" s="48">
        <f>IF(H21&lt;=0,0,MIN(H21+I21,Plan!$E$24+G21))</f>
        <v/>
      </c>
      <c r="K21" s="50">
        <f>MAX(0,H21+I21-J21)</f>
        <v/>
      </c>
      <c r="L21" s="51">
        <f>G21-IF(H21&lt;=0,0,MAX(0,J21-Plan!$E$24))</f>
        <v/>
      </c>
      <c r="M21" s="48">
        <f>P20</f>
        <v/>
      </c>
      <c r="N21" s="49">
        <f>IF(M21&gt;0,M21*Plan!$D$25/100/12,0)</f>
        <v/>
      </c>
      <c r="O21" s="48">
        <f>IF(M21&lt;=0,0,MIN(M21+N21,Plan!$E$25+L21))</f>
        <v/>
      </c>
      <c r="P21" s="50">
        <f>MAX(0,M21+N21-O21)</f>
        <v/>
      </c>
      <c r="Q21" s="51">
        <f>L21-IF(M21&lt;=0,0,MAX(0,O21-Plan!$E$25))</f>
        <v/>
      </c>
      <c r="R21" s="48">
        <f>U20</f>
        <v/>
      </c>
      <c r="S21" s="49">
        <f>IF(R21&gt;0,R21*Plan!$D$26/100/12,0)</f>
        <v/>
      </c>
      <c r="T21" s="48">
        <f>IF(R21&lt;=0,0,MIN(R21+S21,Plan!$E$26+Q21))</f>
        <v/>
      </c>
      <c r="U21" s="50">
        <f>MAX(0,R21+S21-T21)</f>
        <v/>
      </c>
      <c r="V21" s="51">
        <f>Q21-IF(R21&lt;=0,0,MAX(0,T21-Plan!$E$26))</f>
        <v/>
      </c>
      <c r="W21" s="48">
        <f>Z20</f>
        <v/>
      </c>
      <c r="X21" s="49">
        <f>IF(W21&gt;0,W21*Plan!$D$27/100/12,0)</f>
        <v/>
      </c>
      <c r="Y21" s="48">
        <f>IF(W21&lt;=0,0,MIN(W21+X21,Plan!$E$27+V21))</f>
        <v/>
      </c>
      <c r="Z21" s="50">
        <f>MAX(0,W21+X21-Y21)</f>
        <v/>
      </c>
      <c r="AA21" s="51">
        <f>V21-IF(W21&lt;=0,0,MAX(0,Y21-Plan!$E$27))</f>
        <v/>
      </c>
      <c r="AB21" s="48">
        <f>AE20</f>
        <v/>
      </c>
      <c r="AC21" s="49">
        <f>IF(AB21&gt;0,AB21*Plan!$D$28/100/12,0)</f>
        <v/>
      </c>
      <c r="AD21" s="48">
        <f>IF(AB21&lt;=0,0,MIN(AB21+AC21,Plan!$E$28+AA21))</f>
        <v/>
      </c>
      <c r="AE21" s="50">
        <f>MAX(0,AB21+AC21-AD21)</f>
        <v/>
      </c>
      <c r="AF21" s="51">
        <f>AA21-IF(AB21&lt;=0,0,MAX(0,AD21-Plan!$E$28))</f>
        <v/>
      </c>
      <c r="AG21" s="50">
        <f>F21+K21+P21+U21+Z21+AE21</f>
        <v/>
      </c>
    </row>
    <row r="22">
      <c r="A22" s="40" t="n">
        <v>15</v>
      </c>
      <c r="B22" s="41">
        <f>EDATE(Plan!$C$18,14)</f>
        <v/>
      </c>
      <c r="C22" s="42">
        <f>F21</f>
        <v/>
      </c>
      <c r="D22" s="43">
        <f>IF(C22&gt;0,C22*Plan!$D$23/100/12,0)</f>
        <v/>
      </c>
      <c r="E22" s="42">
        <f>IF(C22&lt;=0,0,MIN(C22+D22,Plan!$E$23+(Plan!$C$17+IF(C22&lt;=0,Plan!$E$23,MAX(0,Plan!$E$23-(C22+D22)))+IF(H22&lt;=0,Plan!$E$24,MAX(0,Plan!$E$24-(H22+I22)))+IF(M22&lt;=0,Plan!$E$25,MAX(0,Plan!$E$25-(M22+N22)))+IF(R22&lt;=0,Plan!$E$26,MAX(0,Plan!$E$26-(R22+S22)))+IF(W22&lt;=0,Plan!$E$27,MAX(0,Plan!$E$27-(W22+X22)))+IF(AB22&lt;=0,Plan!$E$28,MAX(0,Plan!$E$28-(AB22+AC22))))))</f>
        <v/>
      </c>
      <c r="F22" s="44">
        <f>MAX(0,C22+D22-E22)</f>
        <v/>
      </c>
      <c r="G22" s="45">
        <f>(Plan!$C$17+IF(C22&lt;=0,Plan!$E$23,MAX(0,Plan!$E$23-(C22+D22)))+IF(H22&lt;=0,Plan!$E$24,MAX(0,Plan!$E$24-(H22+I22)))+IF(M22&lt;=0,Plan!$E$25,MAX(0,Plan!$E$25-(M22+N22)))+IF(R22&lt;=0,Plan!$E$26,MAX(0,Plan!$E$26-(R22+S22)))+IF(W22&lt;=0,Plan!$E$27,MAX(0,Plan!$E$27-(W22+X22)))+IF(AB22&lt;=0,Plan!$E$28,MAX(0,Plan!$E$28-(AB22+AC22))))-IF(C22&lt;=0,0,MAX(0,E22-Plan!$E$23))</f>
        <v/>
      </c>
      <c r="H22" s="42">
        <f>K21</f>
        <v/>
      </c>
      <c r="I22" s="43">
        <f>IF(H22&gt;0,H22*Plan!$D$24/100/12,0)</f>
        <v/>
      </c>
      <c r="J22" s="42">
        <f>IF(H22&lt;=0,0,MIN(H22+I22,Plan!$E$24+G22))</f>
        <v/>
      </c>
      <c r="K22" s="44">
        <f>MAX(0,H22+I22-J22)</f>
        <v/>
      </c>
      <c r="L22" s="45">
        <f>G22-IF(H22&lt;=0,0,MAX(0,J22-Plan!$E$24))</f>
        <v/>
      </c>
      <c r="M22" s="42">
        <f>P21</f>
        <v/>
      </c>
      <c r="N22" s="43">
        <f>IF(M22&gt;0,M22*Plan!$D$25/100/12,0)</f>
        <v/>
      </c>
      <c r="O22" s="42">
        <f>IF(M22&lt;=0,0,MIN(M22+N22,Plan!$E$25+L22))</f>
        <v/>
      </c>
      <c r="P22" s="44">
        <f>MAX(0,M22+N22-O22)</f>
        <v/>
      </c>
      <c r="Q22" s="45">
        <f>L22-IF(M22&lt;=0,0,MAX(0,O22-Plan!$E$25))</f>
        <v/>
      </c>
      <c r="R22" s="42">
        <f>U21</f>
        <v/>
      </c>
      <c r="S22" s="43">
        <f>IF(R22&gt;0,R22*Plan!$D$26/100/12,0)</f>
        <v/>
      </c>
      <c r="T22" s="42">
        <f>IF(R22&lt;=0,0,MIN(R22+S22,Plan!$E$26+Q22))</f>
        <v/>
      </c>
      <c r="U22" s="44">
        <f>MAX(0,R22+S22-T22)</f>
        <v/>
      </c>
      <c r="V22" s="45">
        <f>Q22-IF(R22&lt;=0,0,MAX(0,T22-Plan!$E$26))</f>
        <v/>
      </c>
      <c r="W22" s="42">
        <f>Z21</f>
        <v/>
      </c>
      <c r="X22" s="43">
        <f>IF(W22&gt;0,W22*Plan!$D$27/100/12,0)</f>
        <v/>
      </c>
      <c r="Y22" s="42">
        <f>IF(W22&lt;=0,0,MIN(W22+X22,Plan!$E$27+V22))</f>
        <v/>
      </c>
      <c r="Z22" s="44">
        <f>MAX(0,W22+X22-Y22)</f>
        <v/>
      </c>
      <c r="AA22" s="45">
        <f>V22-IF(W22&lt;=0,0,MAX(0,Y22-Plan!$E$27))</f>
        <v/>
      </c>
      <c r="AB22" s="42">
        <f>AE21</f>
        <v/>
      </c>
      <c r="AC22" s="43">
        <f>IF(AB22&gt;0,AB22*Plan!$D$28/100/12,0)</f>
        <v/>
      </c>
      <c r="AD22" s="42">
        <f>IF(AB22&lt;=0,0,MIN(AB22+AC22,Plan!$E$28+AA22))</f>
        <v/>
      </c>
      <c r="AE22" s="44">
        <f>MAX(0,AB22+AC22-AD22)</f>
        <v/>
      </c>
      <c r="AF22" s="45">
        <f>AA22-IF(AB22&lt;=0,0,MAX(0,AD22-Plan!$E$28))</f>
        <v/>
      </c>
      <c r="AG22" s="44">
        <f>F22+K22+P22+U22+Z22+AE22</f>
        <v/>
      </c>
    </row>
    <row r="23">
      <c r="A23" s="46" t="n">
        <v>16</v>
      </c>
      <c r="B23" s="47">
        <f>EDATE(Plan!$C$18,15)</f>
        <v/>
      </c>
      <c r="C23" s="48">
        <f>F22</f>
        <v/>
      </c>
      <c r="D23" s="49">
        <f>IF(C23&gt;0,C23*Plan!$D$23/100/12,0)</f>
        <v/>
      </c>
      <c r="E23" s="48">
        <f>IF(C23&lt;=0,0,MIN(C23+D23,Plan!$E$23+(Plan!$C$17+IF(C23&lt;=0,Plan!$E$23,MAX(0,Plan!$E$23-(C23+D23)))+IF(H23&lt;=0,Plan!$E$24,MAX(0,Plan!$E$24-(H23+I23)))+IF(M23&lt;=0,Plan!$E$25,MAX(0,Plan!$E$25-(M23+N23)))+IF(R23&lt;=0,Plan!$E$26,MAX(0,Plan!$E$26-(R23+S23)))+IF(W23&lt;=0,Plan!$E$27,MAX(0,Plan!$E$27-(W23+X23)))+IF(AB23&lt;=0,Plan!$E$28,MAX(0,Plan!$E$28-(AB23+AC23))))))</f>
        <v/>
      </c>
      <c r="F23" s="50">
        <f>MAX(0,C23+D23-E23)</f>
        <v/>
      </c>
      <c r="G23" s="51">
        <f>(Plan!$C$17+IF(C23&lt;=0,Plan!$E$23,MAX(0,Plan!$E$23-(C23+D23)))+IF(H23&lt;=0,Plan!$E$24,MAX(0,Plan!$E$24-(H23+I23)))+IF(M23&lt;=0,Plan!$E$25,MAX(0,Plan!$E$25-(M23+N23)))+IF(R23&lt;=0,Plan!$E$26,MAX(0,Plan!$E$26-(R23+S23)))+IF(W23&lt;=0,Plan!$E$27,MAX(0,Plan!$E$27-(W23+X23)))+IF(AB23&lt;=0,Plan!$E$28,MAX(0,Plan!$E$28-(AB23+AC23))))-IF(C23&lt;=0,0,MAX(0,E23-Plan!$E$23))</f>
        <v/>
      </c>
      <c r="H23" s="48">
        <f>K22</f>
        <v/>
      </c>
      <c r="I23" s="49">
        <f>IF(H23&gt;0,H23*Plan!$D$24/100/12,0)</f>
        <v/>
      </c>
      <c r="J23" s="48">
        <f>IF(H23&lt;=0,0,MIN(H23+I23,Plan!$E$24+G23))</f>
        <v/>
      </c>
      <c r="K23" s="50">
        <f>MAX(0,H23+I23-J23)</f>
        <v/>
      </c>
      <c r="L23" s="51">
        <f>G23-IF(H23&lt;=0,0,MAX(0,J23-Plan!$E$24))</f>
        <v/>
      </c>
      <c r="M23" s="48">
        <f>P22</f>
        <v/>
      </c>
      <c r="N23" s="49">
        <f>IF(M23&gt;0,M23*Plan!$D$25/100/12,0)</f>
        <v/>
      </c>
      <c r="O23" s="48">
        <f>IF(M23&lt;=0,0,MIN(M23+N23,Plan!$E$25+L23))</f>
        <v/>
      </c>
      <c r="P23" s="50">
        <f>MAX(0,M23+N23-O23)</f>
        <v/>
      </c>
      <c r="Q23" s="51">
        <f>L23-IF(M23&lt;=0,0,MAX(0,O23-Plan!$E$25))</f>
        <v/>
      </c>
      <c r="R23" s="48">
        <f>U22</f>
        <v/>
      </c>
      <c r="S23" s="49">
        <f>IF(R23&gt;0,R23*Plan!$D$26/100/12,0)</f>
        <v/>
      </c>
      <c r="T23" s="48">
        <f>IF(R23&lt;=0,0,MIN(R23+S23,Plan!$E$26+Q23))</f>
        <v/>
      </c>
      <c r="U23" s="50">
        <f>MAX(0,R23+S23-T23)</f>
        <v/>
      </c>
      <c r="V23" s="51">
        <f>Q23-IF(R23&lt;=0,0,MAX(0,T23-Plan!$E$26))</f>
        <v/>
      </c>
      <c r="W23" s="48">
        <f>Z22</f>
        <v/>
      </c>
      <c r="X23" s="49">
        <f>IF(W23&gt;0,W23*Plan!$D$27/100/12,0)</f>
        <v/>
      </c>
      <c r="Y23" s="48">
        <f>IF(W23&lt;=0,0,MIN(W23+X23,Plan!$E$27+V23))</f>
        <v/>
      </c>
      <c r="Z23" s="50">
        <f>MAX(0,W23+X23-Y23)</f>
        <v/>
      </c>
      <c r="AA23" s="51">
        <f>V23-IF(W23&lt;=0,0,MAX(0,Y23-Plan!$E$27))</f>
        <v/>
      </c>
      <c r="AB23" s="48">
        <f>AE22</f>
        <v/>
      </c>
      <c r="AC23" s="49">
        <f>IF(AB23&gt;0,AB23*Plan!$D$28/100/12,0)</f>
        <v/>
      </c>
      <c r="AD23" s="48">
        <f>IF(AB23&lt;=0,0,MIN(AB23+AC23,Plan!$E$28+AA23))</f>
        <v/>
      </c>
      <c r="AE23" s="50">
        <f>MAX(0,AB23+AC23-AD23)</f>
        <v/>
      </c>
      <c r="AF23" s="51">
        <f>AA23-IF(AB23&lt;=0,0,MAX(0,AD23-Plan!$E$28))</f>
        <v/>
      </c>
      <c r="AG23" s="50">
        <f>F23+K23+P23+U23+Z23+AE23</f>
        <v/>
      </c>
    </row>
    <row r="24">
      <c r="A24" s="40" t="n">
        <v>17</v>
      </c>
      <c r="B24" s="41">
        <f>EDATE(Plan!$C$18,16)</f>
        <v/>
      </c>
      <c r="C24" s="42">
        <f>F23</f>
        <v/>
      </c>
      <c r="D24" s="43">
        <f>IF(C24&gt;0,C24*Plan!$D$23/100/12,0)</f>
        <v/>
      </c>
      <c r="E24" s="42">
        <f>IF(C24&lt;=0,0,MIN(C24+D24,Plan!$E$23+(Plan!$C$17+IF(C24&lt;=0,Plan!$E$23,MAX(0,Plan!$E$23-(C24+D24)))+IF(H24&lt;=0,Plan!$E$24,MAX(0,Plan!$E$24-(H24+I24)))+IF(M24&lt;=0,Plan!$E$25,MAX(0,Plan!$E$25-(M24+N24)))+IF(R24&lt;=0,Plan!$E$26,MAX(0,Plan!$E$26-(R24+S24)))+IF(W24&lt;=0,Plan!$E$27,MAX(0,Plan!$E$27-(W24+X24)))+IF(AB24&lt;=0,Plan!$E$28,MAX(0,Plan!$E$28-(AB24+AC24))))))</f>
        <v/>
      </c>
      <c r="F24" s="44">
        <f>MAX(0,C24+D24-E24)</f>
        <v/>
      </c>
      <c r="G24" s="45">
        <f>(Plan!$C$17+IF(C24&lt;=0,Plan!$E$23,MAX(0,Plan!$E$23-(C24+D24)))+IF(H24&lt;=0,Plan!$E$24,MAX(0,Plan!$E$24-(H24+I24)))+IF(M24&lt;=0,Plan!$E$25,MAX(0,Plan!$E$25-(M24+N24)))+IF(R24&lt;=0,Plan!$E$26,MAX(0,Plan!$E$26-(R24+S24)))+IF(W24&lt;=0,Plan!$E$27,MAX(0,Plan!$E$27-(W24+X24)))+IF(AB24&lt;=0,Plan!$E$28,MAX(0,Plan!$E$28-(AB24+AC24))))-IF(C24&lt;=0,0,MAX(0,E24-Plan!$E$23))</f>
        <v/>
      </c>
      <c r="H24" s="42">
        <f>K23</f>
        <v/>
      </c>
      <c r="I24" s="43">
        <f>IF(H24&gt;0,H24*Plan!$D$24/100/12,0)</f>
        <v/>
      </c>
      <c r="J24" s="42">
        <f>IF(H24&lt;=0,0,MIN(H24+I24,Plan!$E$24+G24))</f>
        <v/>
      </c>
      <c r="K24" s="44">
        <f>MAX(0,H24+I24-J24)</f>
        <v/>
      </c>
      <c r="L24" s="45">
        <f>G24-IF(H24&lt;=0,0,MAX(0,J24-Plan!$E$24))</f>
        <v/>
      </c>
      <c r="M24" s="42">
        <f>P23</f>
        <v/>
      </c>
      <c r="N24" s="43">
        <f>IF(M24&gt;0,M24*Plan!$D$25/100/12,0)</f>
        <v/>
      </c>
      <c r="O24" s="42">
        <f>IF(M24&lt;=0,0,MIN(M24+N24,Plan!$E$25+L24))</f>
        <v/>
      </c>
      <c r="P24" s="44">
        <f>MAX(0,M24+N24-O24)</f>
        <v/>
      </c>
      <c r="Q24" s="45">
        <f>L24-IF(M24&lt;=0,0,MAX(0,O24-Plan!$E$25))</f>
        <v/>
      </c>
      <c r="R24" s="42">
        <f>U23</f>
        <v/>
      </c>
      <c r="S24" s="43">
        <f>IF(R24&gt;0,R24*Plan!$D$26/100/12,0)</f>
        <v/>
      </c>
      <c r="T24" s="42">
        <f>IF(R24&lt;=0,0,MIN(R24+S24,Plan!$E$26+Q24))</f>
        <v/>
      </c>
      <c r="U24" s="44">
        <f>MAX(0,R24+S24-T24)</f>
        <v/>
      </c>
      <c r="V24" s="45">
        <f>Q24-IF(R24&lt;=0,0,MAX(0,T24-Plan!$E$26))</f>
        <v/>
      </c>
      <c r="W24" s="42">
        <f>Z23</f>
        <v/>
      </c>
      <c r="X24" s="43">
        <f>IF(W24&gt;0,W24*Plan!$D$27/100/12,0)</f>
        <v/>
      </c>
      <c r="Y24" s="42">
        <f>IF(W24&lt;=0,0,MIN(W24+X24,Plan!$E$27+V24))</f>
        <v/>
      </c>
      <c r="Z24" s="44">
        <f>MAX(0,W24+X24-Y24)</f>
        <v/>
      </c>
      <c r="AA24" s="45">
        <f>V24-IF(W24&lt;=0,0,MAX(0,Y24-Plan!$E$27))</f>
        <v/>
      </c>
      <c r="AB24" s="42">
        <f>AE23</f>
        <v/>
      </c>
      <c r="AC24" s="43">
        <f>IF(AB24&gt;0,AB24*Plan!$D$28/100/12,0)</f>
        <v/>
      </c>
      <c r="AD24" s="42">
        <f>IF(AB24&lt;=0,0,MIN(AB24+AC24,Plan!$E$28+AA24))</f>
        <v/>
      </c>
      <c r="AE24" s="44">
        <f>MAX(0,AB24+AC24-AD24)</f>
        <v/>
      </c>
      <c r="AF24" s="45">
        <f>AA24-IF(AB24&lt;=0,0,MAX(0,AD24-Plan!$E$28))</f>
        <v/>
      </c>
      <c r="AG24" s="44">
        <f>F24+K24+P24+U24+Z24+AE24</f>
        <v/>
      </c>
    </row>
    <row r="25">
      <c r="A25" s="46" t="n">
        <v>18</v>
      </c>
      <c r="B25" s="47">
        <f>EDATE(Plan!$C$18,17)</f>
        <v/>
      </c>
      <c r="C25" s="48">
        <f>F24</f>
        <v/>
      </c>
      <c r="D25" s="49">
        <f>IF(C25&gt;0,C25*Plan!$D$23/100/12,0)</f>
        <v/>
      </c>
      <c r="E25" s="48">
        <f>IF(C25&lt;=0,0,MIN(C25+D25,Plan!$E$23+(Plan!$C$17+IF(C25&lt;=0,Plan!$E$23,MAX(0,Plan!$E$23-(C25+D25)))+IF(H25&lt;=0,Plan!$E$24,MAX(0,Plan!$E$24-(H25+I25)))+IF(M25&lt;=0,Plan!$E$25,MAX(0,Plan!$E$25-(M25+N25)))+IF(R25&lt;=0,Plan!$E$26,MAX(0,Plan!$E$26-(R25+S25)))+IF(W25&lt;=0,Plan!$E$27,MAX(0,Plan!$E$27-(W25+X25)))+IF(AB25&lt;=0,Plan!$E$28,MAX(0,Plan!$E$28-(AB25+AC25))))))</f>
        <v/>
      </c>
      <c r="F25" s="50">
        <f>MAX(0,C25+D25-E25)</f>
        <v/>
      </c>
      <c r="G25" s="51">
        <f>(Plan!$C$17+IF(C25&lt;=0,Plan!$E$23,MAX(0,Plan!$E$23-(C25+D25)))+IF(H25&lt;=0,Plan!$E$24,MAX(0,Plan!$E$24-(H25+I25)))+IF(M25&lt;=0,Plan!$E$25,MAX(0,Plan!$E$25-(M25+N25)))+IF(R25&lt;=0,Plan!$E$26,MAX(0,Plan!$E$26-(R25+S25)))+IF(W25&lt;=0,Plan!$E$27,MAX(0,Plan!$E$27-(W25+X25)))+IF(AB25&lt;=0,Plan!$E$28,MAX(0,Plan!$E$28-(AB25+AC25))))-IF(C25&lt;=0,0,MAX(0,E25-Plan!$E$23))</f>
        <v/>
      </c>
      <c r="H25" s="48">
        <f>K24</f>
        <v/>
      </c>
      <c r="I25" s="49">
        <f>IF(H25&gt;0,H25*Plan!$D$24/100/12,0)</f>
        <v/>
      </c>
      <c r="J25" s="48">
        <f>IF(H25&lt;=0,0,MIN(H25+I25,Plan!$E$24+G25))</f>
        <v/>
      </c>
      <c r="K25" s="50">
        <f>MAX(0,H25+I25-J25)</f>
        <v/>
      </c>
      <c r="L25" s="51">
        <f>G25-IF(H25&lt;=0,0,MAX(0,J25-Plan!$E$24))</f>
        <v/>
      </c>
      <c r="M25" s="48">
        <f>P24</f>
        <v/>
      </c>
      <c r="N25" s="49">
        <f>IF(M25&gt;0,M25*Plan!$D$25/100/12,0)</f>
        <v/>
      </c>
      <c r="O25" s="48">
        <f>IF(M25&lt;=0,0,MIN(M25+N25,Plan!$E$25+L25))</f>
        <v/>
      </c>
      <c r="P25" s="50">
        <f>MAX(0,M25+N25-O25)</f>
        <v/>
      </c>
      <c r="Q25" s="51">
        <f>L25-IF(M25&lt;=0,0,MAX(0,O25-Plan!$E$25))</f>
        <v/>
      </c>
      <c r="R25" s="48">
        <f>U24</f>
        <v/>
      </c>
      <c r="S25" s="49">
        <f>IF(R25&gt;0,R25*Plan!$D$26/100/12,0)</f>
        <v/>
      </c>
      <c r="T25" s="48">
        <f>IF(R25&lt;=0,0,MIN(R25+S25,Plan!$E$26+Q25))</f>
        <v/>
      </c>
      <c r="U25" s="50">
        <f>MAX(0,R25+S25-T25)</f>
        <v/>
      </c>
      <c r="V25" s="51">
        <f>Q25-IF(R25&lt;=0,0,MAX(0,T25-Plan!$E$26))</f>
        <v/>
      </c>
      <c r="W25" s="48">
        <f>Z24</f>
        <v/>
      </c>
      <c r="X25" s="49">
        <f>IF(W25&gt;0,W25*Plan!$D$27/100/12,0)</f>
        <v/>
      </c>
      <c r="Y25" s="48">
        <f>IF(W25&lt;=0,0,MIN(W25+X25,Plan!$E$27+V25))</f>
        <v/>
      </c>
      <c r="Z25" s="50">
        <f>MAX(0,W25+X25-Y25)</f>
        <v/>
      </c>
      <c r="AA25" s="51">
        <f>V25-IF(W25&lt;=0,0,MAX(0,Y25-Plan!$E$27))</f>
        <v/>
      </c>
      <c r="AB25" s="48">
        <f>AE24</f>
        <v/>
      </c>
      <c r="AC25" s="49">
        <f>IF(AB25&gt;0,AB25*Plan!$D$28/100/12,0)</f>
        <v/>
      </c>
      <c r="AD25" s="48">
        <f>IF(AB25&lt;=0,0,MIN(AB25+AC25,Plan!$E$28+AA25))</f>
        <v/>
      </c>
      <c r="AE25" s="50">
        <f>MAX(0,AB25+AC25-AD25)</f>
        <v/>
      </c>
      <c r="AF25" s="51">
        <f>AA25-IF(AB25&lt;=0,0,MAX(0,AD25-Plan!$E$28))</f>
        <v/>
      </c>
      <c r="AG25" s="50">
        <f>F25+K25+P25+U25+Z25+AE25</f>
        <v/>
      </c>
    </row>
    <row r="26">
      <c r="A26" s="40" t="n">
        <v>19</v>
      </c>
      <c r="B26" s="41">
        <f>EDATE(Plan!$C$18,18)</f>
        <v/>
      </c>
      <c r="C26" s="42">
        <f>F25</f>
        <v/>
      </c>
      <c r="D26" s="43">
        <f>IF(C26&gt;0,C26*Plan!$D$23/100/12,0)</f>
        <v/>
      </c>
      <c r="E26" s="42">
        <f>IF(C26&lt;=0,0,MIN(C26+D26,Plan!$E$23+(Plan!$C$17+IF(C26&lt;=0,Plan!$E$23,MAX(0,Plan!$E$23-(C26+D26)))+IF(H26&lt;=0,Plan!$E$24,MAX(0,Plan!$E$24-(H26+I26)))+IF(M26&lt;=0,Plan!$E$25,MAX(0,Plan!$E$25-(M26+N26)))+IF(R26&lt;=0,Plan!$E$26,MAX(0,Plan!$E$26-(R26+S26)))+IF(W26&lt;=0,Plan!$E$27,MAX(0,Plan!$E$27-(W26+X26)))+IF(AB26&lt;=0,Plan!$E$28,MAX(0,Plan!$E$28-(AB26+AC26))))))</f>
        <v/>
      </c>
      <c r="F26" s="44">
        <f>MAX(0,C26+D26-E26)</f>
        <v/>
      </c>
      <c r="G26" s="45">
        <f>(Plan!$C$17+IF(C26&lt;=0,Plan!$E$23,MAX(0,Plan!$E$23-(C26+D26)))+IF(H26&lt;=0,Plan!$E$24,MAX(0,Plan!$E$24-(H26+I26)))+IF(M26&lt;=0,Plan!$E$25,MAX(0,Plan!$E$25-(M26+N26)))+IF(R26&lt;=0,Plan!$E$26,MAX(0,Plan!$E$26-(R26+S26)))+IF(W26&lt;=0,Plan!$E$27,MAX(0,Plan!$E$27-(W26+X26)))+IF(AB26&lt;=0,Plan!$E$28,MAX(0,Plan!$E$28-(AB26+AC26))))-IF(C26&lt;=0,0,MAX(0,E26-Plan!$E$23))</f>
        <v/>
      </c>
      <c r="H26" s="42">
        <f>K25</f>
        <v/>
      </c>
      <c r="I26" s="43">
        <f>IF(H26&gt;0,H26*Plan!$D$24/100/12,0)</f>
        <v/>
      </c>
      <c r="J26" s="42">
        <f>IF(H26&lt;=0,0,MIN(H26+I26,Plan!$E$24+G26))</f>
        <v/>
      </c>
      <c r="K26" s="44">
        <f>MAX(0,H26+I26-J26)</f>
        <v/>
      </c>
      <c r="L26" s="45">
        <f>G26-IF(H26&lt;=0,0,MAX(0,J26-Plan!$E$24))</f>
        <v/>
      </c>
      <c r="M26" s="42">
        <f>P25</f>
        <v/>
      </c>
      <c r="N26" s="43">
        <f>IF(M26&gt;0,M26*Plan!$D$25/100/12,0)</f>
        <v/>
      </c>
      <c r="O26" s="42">
        <f>IF(M26&lt;=0,0,MIN(M26+N26,Plan!$E$25+L26))</f>
        <v/>
      </c>
      <c r="P26" s="44">
        <f>MAX(0,M26+N26-O26)</f>
        <v/>
      </c>
      <c r="Q26" s="45">
        <f>L26-IF(M26&lt;=0,0,MAX(0,O26-Plan!$E$25))</f>
        <v/>
      </c>
      <c r="R26" s="42">
        <f>U25</f>
        <v/>
      </c>
      <c r="S26" s="43">
        <f>IF(R26&gt;0,R26*Plan!$D$26/100/12,0)</f>
        <v/>
      </c>
      <c r="T26" s="42">
        <f>IF(R26&lt;=0,0,MIN(R26+S26,Plan!$E$26+Q26))</f>
        <v/>
      </c>
      <c r="U26" s="44">
        <f>MAX(0,R26+S26-T26)</f>
        <v/>
      </c>
      <c r="V26" s="45">
        <f>Q26-IF(R26&lt;=0,0,MAX(0,T26-Plan!$E$26))</f>
        <v/>
      </c>
      <c r="W26" s="42">
        <f>Z25</f>
        <v/>
      </c>
      <c r="X26" s="43">
        <f>IF(W26&gt;0,W26*Plan!$D$27/100/12,0)</f>
        <v/>
      </c>
      <c r="Y26" s="42">
        <f>IF(W26&lt;=0,0,MIN(W26+X26,Plan!$E$27+V26))</f>
        <v/>
      </c>
      <c r="Z26" s="44">
        <f>MAX(0,W26+X26-Y26)</f>
        <v/>
      </c>
      <c r="AA26" s="45">
        <f>V26-IF(W26&lt;=0,0,MAX(0,Y26-Plan!$E$27))</f>
        <v/>
      </c>
      <c r="AB26" s="42">
        <f>AE25</f>
        <v/>
      </c>
      <c r="AC26" s="43">
        <f>IF(AB26&gt;0,AB26*Plan!$D$28/100/12,0)</f>
        <v/>
      </c>
      <c r="AD26" s="42">
        <f>IF(AB26&lt;=0,0,MIN(AB26+AC26,Plan!$E$28+AA26))</f>
        <v/>
      </c>
      <c r="AE26" s="44">
        <f>MAX(0,AB26+AC26-AD26)</f>
        <v/>
      </c>
      <c r="AF26" s="45">
        <f>AA26-IF(AB26&lt;=0,0,MAX(0,AD26-Plan!$E$28))</f>
        <v/>
      </c>
      <c r="AG26" s="44">
        <f>F26+K26+P26+U26+Z26+AE26</f>
        <v/>
      </c>
    </row>
    <row r="27">
      <c r="A27" s="46" t="n">
        <v>20</v>
      </c>
      <c r="B27" s="47">
        <f>EDATE(Plan!$C$18,19)</f>
        <v/>
      </c>
      <c r="C27" s="48">
        <f>F26</f>
        <v/>
      </c>
      <c r="D27" s="49">
        <f>IF(C27&gt;0,C27*Plan!$D$23/100/12,0)</f>
        <v/>
      </c>
      <c r="E27" s="48">
        <f>IF(C27&lt;=0,0,MIN(C27+D27,Plan!$E$23+(Plan!$C$17+IF(C27&lt;=0,Plan!$E$23,MAX(0,Plan!$E$23-(C27+D27)))+IF(H27&lt;=0,Plan!$E$24,MAX(0,Plan!$E$24-(H27+I27)))+IF(M27&lt;=0,Plan!$E$25,MAX(0,Plan!$E$25-(M27+N27)))+IF(R27&lt;=0,Plan!$E$26,MAX(0,Plan!$E$26-(R27+S27)))+IF(W27&lt;=0,Plan!$E$27,MAX(0,Plan!$E$27-(W27+X27)))+IF(AB27&lt;=0,Plan!$E$28,MAX(0,Plan!$E$28-(AB27+AC27))))))</f>
        <v/>
      </c>
      <c r="F27" s="50">
        <f>MAX(0,C27+D27-E27)</f>
        <v/>
      </c>
      <c r="G27" s="51">
        <f>(Plan!$C$17+IF(C27&lt;=0,Plan!$E$23,MAX(0,Plan!$E$23-(C27+D27)))+IF(H27&lt;=0,Plan!$E$24,MAX(0,Plan!$E$24-(H27+I27)))+IF(M27&lt;=0,Plan!$E$25,MAX(0,Plan!$E$25-(M27+N27)))+IF(R27&lt;=0,Plan!$E$26,MAX(0,Plan!$E$26-(R27+S27)))+IF(W27&lt;=0,Plan!$E$27,MAX(0,Plan!$E$27-(W27+X27)))+IF(AB27&lt;=0,Plan!$E$28,MAX(0,Plan!$E$28-(AB27+AC27))))-IF(C27&lt;=0,0,MAX(0,E27-Plan!$E$23))</f>
        <v/>
      </c>
      <c r="H27" s="48">
        <f>K26</f>
        <v/>
      </c>
      <c r="I27" s="49">
        <f>IF(H27&gt;0,H27*Plan!$D$24/100/12,0)</f>
        <v/>
      </c>
      <c r="J27" s="48">
        <f>IF(H27&lt;=0,0,MIN(H27+I27,Plan!$E$24+G27))</f>
        <v/>
      </c>
      <c r="K27" s="50">
        <f>MAX(0,H27+I27-J27)</f>
        <v/>
      </c>
      <c r="L27" s="51">
        <f>G27-IF(H27&lt;=0,0,MAX(0,J27-Plan!$E$24))</f>
        <v/>
      </c>
      <c r="M27" s="48">
        <f>P26</f>
        <v/>
      </c>
      <c r="N27" s="49">
        <f>IF(M27&gt;0,M27*Plan!$D$25/100/12,0)</f>
        <v/>
      </c>
      <c r="O27" s="48">
        <f>IF(M27&lt;=0,0,MIN(M27+N27,Plan!$E$25+L27))</f>
        <v/>
      </c>
      <c r="P27" s="50">
        <f>MAX(0,M27+N27-O27)</f>
        <v/>
      </c>
      <c r="Q27" s="51">
        <f>L27-IF(M27&lt;=0,0,MAX(0,O27-Plan!$E$25))</f>
        <v/>
      </c>
      <c r="R27" s="48">
        <f>U26</f>
        <v/>
      </c>
      <c r="S27" s="49">
        <f>IF(R27&gt;0,R27*Plan!$D$26/100/12,0)</f>
        <v/>
      </c>
      <c r="T27" s="48">
        <f>IF(R27&lt;=0,0,MIN(R27+S27,Plan!$E$26+Q27))</f>
        <v/>
      </c>
      <c r="U27" s="50">
        <f>MAX(0,R27+S27-T27)</f>
        <v/>
      </c>
      <c r="V27" s="51">
        <f>Q27-IF(R27&lt;=0,0,MAX(0,T27-Plan!$E$26))</f>
        <v/>
      </c>
      <c r="W27" s="48">
        <f>Z26</f>
        <v/>
      </c>
      <c r="X27" s="49">
        <f>IF(W27&gt;0,W27*Plan!$D$27/100/12,0)</f>
        <v/>
      </c>
      <c r="Y27" s="48">
        <f>IF(W27&lt;=0,0,MIN(W27+X27,Plan!$E$27+V27))</f>
        <v/>
      </c>
      <c r="Z27" s="50">
        <f>MAX(0,W27+X27-Y27)</f>
        <v/>
      </c>
      <c r="AA27" s="51">
        <f>V27-IF(W27&lt;=0,0,MAX(0,Y27-Plan!$E$27))</f>
        <v/>
      </c>
      <c r="AB27" s="48">
        <f>AE26</f>
        <v/>
      </c>
      <c r="AC27" s="49">
        <f>IF(AB27&gt;0,AB27*Plan!$D$28/100/12,0)</f>
        <v/>
      </c>
      <c r="AD27" s="48">
        <f>IF(AB27&lt;=0,0,MIN(AB27+AC27,Plan!$E$28+AA27))</f>
        <v/>
      </c>
      <c r="AE27" s="50">
        <f>MAX(0,AB27+AC27-AD27)</f>
        <v/>
      </c>
      <c r="AF27" s="51">
        <f>AA27-IF(AB27&lt;=0,0,MAX(0,AD27-Plan!$E$28))</f>
        <v/>
      </c>
      <c r="AG27" s="50">
        <f>F27+K27+P27+U27+Z27+AE27</f>
        <v/>
      </c>
    </row>
    <row r="28">
      <c r="A28" s="40" t="n">
        <v>21</v>
      </c>
      <c r="B28" s="41">
        <f>EDATE(Plan!$C$18,20)</f>
        <v/>
      </c>
      <c r="C28" s="42">
        <f>F27</f>
        <v/>
      </c>
      <c r="D28" s="43">
        <f>IF(C28&gt;0,C28*Plan!$D$23/100/12,0)</f>
        <v/>
      </c>
      <c r="E28" s="42">
        <f>IF(C28&lt;=0,0,MIN(C28+D28,Plan!$E$23+(Plan!$C$17+IF(C28&lt;=0,Plan!$E$23,MAX(0,Plan!$E$23-(C28+D28)))+IF(H28&lt;=0,Plan!$E$24,MAX(0,Plan!$E$24-(H28+I28)))+IF(M28&lt;=0,Plan!$E$25,MAX(0,Plan!$E$25-(M28+N28)))+IF(R28&lt;=0,Plan!$E$26,MAX(0,Plan!$E$26-(R28+S28)))+IF(W28&lt;=0,Plan!$E$27,MAX(0,Plan!$E$27-(W28+X28)))+IF(AB28&lt;=0,Plan!$E$28,MAX(0,Plan!$E$28-(AB28+AC28))))))</f>
        <v/>
      </c>
      <c r="F28" s="44">
        <f>MAX(0,C28+D28-E28)</f>
        <v/>
      </c>
      <c r="G28" s="45">
        <f>(Plan!$C$17+IF(C28&lt;=0,Plan!$E$23,MAX(0,Plan!$E$23-(C28+D28)))+IF(H28&lt;=0,Plan!$E$24,MAX(0,Plan!$E$24-(H28+I28)))+IF(M28&lt;=0,Plan!$E$25,MAX(0,Plan!$E$25-(M28+N28)))+IF(R28&lt;=0,Plan!$E$26,MAX(0,Plan!$E$26-(R28+S28)))+IF(W28&lt;=0,Plan!$E$27,MAX(0,Plan!$E$27-(W28+X28)))+IF(AB28&lt;=0,Plan!$E$28,MAX(0,Plan!$E$28-(AB28+AC28))))-IF(C28&lt;=0,0,MAX(0,E28-Plan!$E$23))</f>
        <v/>
      </c>
      <c r="H28" s="42">
        <f>K27</f>
        <v/>
      </c>
      <c r="I28" s="43">
        <f>IF(H28&gt;0,H28*Plan!$D$24/100/12,0)</f>
        <v/>
      </c>
      <c r="J28" s="42">
        <f>IF(H28&lt;=0,0,MIN(H28+I28,Plan!$E$24+G28))</f>
        <v/>
      </c>
      <c r="K28" s="44">
        <f>MAX(0,H28+I28-J28)</f>
        <v/>
      </c>
      <c r="L28" s="45">
        <f>G28-IF(H28&lt;=0,0,MAX(0,J28-Plan!$E$24))</f>
        <v/>
      </c>
      <c r="M28" s="42">
        <f>P27</f>
        <v/>
      </c>
      <c r="N28" s="43">
        <f>IF(M28&gt;0,M28*Plan!$D$25/100/12,0)</f>
        <v/>
      </c>
      <c r="O28" s="42">
        <f>IF(M28&lt;=0,0,MIN(M28+N28,Plan!$E$25+L28))</f>
        <v/>
      </c>
      <c r="P28" s="44">
        <f>MAX(0,M28+N28-O28)</f>
        <v/>
      </c>
      <c r="Q28" s="45">
        <f>L28-IF(M28&lt;=0,0,MAX(0,O28-Plan!$E$25))</f>
        <v/>
      </c>
      <c r="R28" s="42">
        <f>U27</f>
        <v/>
      </c>
      <c r="S28" s="43">
        <f>IF(R28&gt;0,R28*Plan!$D$26/100/12,0)</f>
        <v/>
      </c>
      <c r="T28" s="42">
        <f>IF(R28&lt;=0,0,MIN(R28+S28,Plan!$E$26+Q28))</f>
        <v/>
      </c>
      <c r="U28" s="44">
        <f>MAX(0,R28+S28-T28)</f>
        <v/>
      </c>
      <c r="V28" s="45">
        <f>Q28-IF(R28&lt;=0,0,MAX(0,T28-Plan!$E$26))</f>
        <v/>
      </c>
      <c r="W28" s="42">
        <f>Z27</f>
        <v/>
      </c>
      <c r="X28" s="43">
        <f>IF(W28&gt;0,W28*Plan!$D$27/100/12,0)</f>
        <v/>
      </c>
      <c r="Y28" s="42">
        <f>IF(W28&lt;=0,0,MIN(W28+X28,Plan!$E$27+V28))</f>
        <v/>
      </c>
      <c r="Z28" s="44">
        <f>MAX(0,W28+X28-Y28)</f>
        <v/>
      </c>
      <c r="AA28" s="45">
        <f>V28-IF(W28&lt;=0,0,MAX(0,Y28-Plan!$E$27))</f>
        <v/>
      </c>
      <c r="AB28" s="42">
        <f>AE27</f>
        <v/>
      </c>
      <c r="AC28" s="43">
        <f>IF(AB28&gt;0,AB28*Plan!$D$28/100/12,0)</f>
        <v/>
      </c>
      <c r="AD28" s="42">
        <f>IF(AB28&lt;=0,0,MIN(AB28+AC28,Plan!$E$28+AA28))</f>
        <v/>
      </c>
      <c r="AE28" s="44">
        <f>MAX(0,AB28+AC28-AD28)</f>
        <v/>
      </c>
      <c r="AF28" s="45">
        <f>AA28-IF(AB28&lt;=0,0,MAX(0,AD28-Plan!$E$28))</f>
        <v/>
      </c>
      <c r="AG28" s="44">
        <f>F28+K28+P28+U28+Z28+AE28</f>
        <v/>
      </c>
    </row>
    <row r="29">
      <c r="A29" s="46" t="n">
        <v>22</v>
      </c>
      <c r="B29" s="47">
        <f>EDATE(Plan!$C$18,21)</f>
        <v/>
      </c>
      <c r="C29" s="48">
        <f>F28</f>
        <v/>
      </c>
      <c r="D29" s="49">
        <f>IF(C29&gt;0,C29*Plan!$D$23/100/12,0)</f>
        <v/>
      </c>
      <c r="E29" s="48">
        <f>IF(C29&lt;=0,0,MIN(C29+D29,Plan!$E$23+(Plan!$C$17+IF(C29&lt;=0,Plan!$E$23,MAX(0,Plan!$E$23-(C29+D29)))+IF(H29&lt;=0,Plan!$E$24,MAX(0,Plan!$E$24-(H29+I29)))+IF(M29&lt;=0,Plan!$E$25,MAX(0,Plan!$E$25-(M29+N29)))+IF(R29&lt;=0,Plan!$E$26,MAX(0,Plan!$E$26-(R29+S29)))+IF(W29&lt;=0,Plan!$E$27,MAX(0,Plan!$E$27-(W29+X29)))+IF(AB29&lt;=0,Plan!$E$28,MAX(0,Plan!$E$28-(AB29+AC29))))))</f>
        <v/>
      </c>
      <c r="F29" s="50">
        <f>MAX(0,C29+D29-E29)</f>
        <v/>
      </c>
      <c r="G29" s="51">
        <f>(Plan!$C$17+IF(C29&lt;=0,Plan!$E$23,MAX(0,Plan!$E$23-(C29+D29)))+IF(H29&lt;=0,Plan!$E$24,MAX(0,Plan!$E$24-(H29+I29)))+IF(M29&lt;=0,Plan!$E$25,MAX(0,Plan!$E$25-(M29+N29)))+IF(R29&lt;=0,Plan!$E$26,MAX(0,Plan!$E$26-(R29+S29)))+IF(W29&lt;=0,Plan!$E$27,MAX(0,Plan!$E$27-(W29+X29)))+IF(AB29&lt;=0,Plan!$E$28,MAX(0,Plan!$E$28-(AB29+AC29))))-IF(C29&lt;=0,0,MAX(0,E29-Plan!$E$23))</f>
        <v/>
      </c>
      <c r="H29" s="48">
        <f>K28</f>
        <v/>
      </c>
      <c r="I29" s="49">
        <f>IF(H29&gt;0,H29*Plan!$D$24/100/12,0)</f>
        <v/>
      </c>
      <c r="J29" s="48">
        <f>IF(H29&lt;=0,0,MIN(H29+I29,Plan!$E$24+G29))</f>
        <v/>
      </c>
      <c r="K29" s="50">
        <f>MAX(0,H29+I29-J29)</f>
        <v/>
      </c>
      <c r="L29" s="51">
        <f>G29-IF(H29&lt;=0,0,MAX(0,J29-Plan!$E$24))</f>
        <v/>
      </c>
      <c r="M29" s="48">
        <f>P28</f>
        <v/>
      </c>
      <c r="N29" s="49">
        <f>IF(M29&gt;0,M29*Plan!$D$25/100/12,0)</f>
        <v/>
      </c>
      <c r="O29" s="48">
        <f>IF(M29&lt;=0,0,MIN(M29+N29,Plan!$E$25+L29))</f>
        <v/>
      </c>
      <c r="P29" s="50">
        <f>MAX(0,M29+N29-O29)</f>
        <v/>
      </c>
      <c r="Q29" s="51">
        <f>L29-IF(M29&lt;=0,0,MAX(0,O29-Plan!$E$25))</f>
        <v/>
      </c>
      <c r="R29" s="48">
        <f>U28</f>
        <v/>
      </c>
      <c r="S29" s="49">
        <f>IF(R29&gt;0,R29*Plan!$D$26/100/12,0)</f>
        <v/>
      </c>
      <c r="T29" s="48">
        <f>IF(R29&lt;=0,0,MIN(R29+S29,Plan!$E$26+Q29))</f>
        <v/>
      </c>
      <c r="U29" s="50">
        <f>MAX(0,R29+S29-T29)</f>
        <v/>
      </c>
      <c r="V29" s="51">
        <f>Q29-IF(R29&lt;=0,0,MAX(0,T29-Plan!$E$26))</f>
        <v/>
      </c>
      <c r="W29" s="48">
        <f>Z28</f>
        <v/>
      </c>
      <c r="X29" s="49">
        <f>IF(W29&gt;0,W29*Plan!$D$27/100/12,0)</f>
        <v/>
      </c>
      <c r="Y29" s="48">
        <f>IF(W29&lt;=0,0,MIN(W29+X29,Plan!$E$27+V29))</f>
        <v/>
      </c>
      <c r="Z29" s="50">
        <f>MAX(0,W29+X29-Y29)</f>
        <v/>
      </c>
      <c r="AA29" s="51">
        <f>V29-IF(W29&lt;=0,0,MAX(0,Y29-Plan!$E$27))</f>
        <v/>
      </c>
      <c r="AB29" s="48">
        <f>AE28</f>
        <v/>
      </c>
      <c r="AC29" s="49">
        <f>IF(AB29&gt;0,AB29*Plan!$D$28/100/12,0)</f>
        <v/>
      </c>
      <c r="AD29" s="48">
        <f>IF(AB29&lt;=0,0,MIN(AB29+AC29,Plan!$E$28+AA29))</f>
        <v/>
      </c>
      <c r="AE29" s="50">
        <f>MAX(0,AB29+AC29-AD29)</f>
        <v/>
      </c>
      <c r="AF29" s="51">
        <f>AA29-IF(AB29&lt;=0,0,MAX(0,AD29-Plan!$E$28))</f>
        <v/>
      </c>
      <c r="AG29" s="50">
        <f>F29+K29+P29+U29+Z29+AE29</f>
        <v/>
      </c>
    </row>
    <row r="30">
      <c r="A30" s="40" t="n">
        <v>23</v>
      </c>
      <c r="B30" s="41">
        <f>EDATE(Plan!$C$18,22)</f>
        <v/>
      </c>
      <c r="C30" s="42">
        <f>F29</f>
        <v/>
      </c>
      <c r="D30" s="43">
        <f>IF(C30&gt;0,C30*Plan!$D$23/100/12,0)</f>
        <v/>
      </c>
      <c r="E30" s="42">
        <f>IF(C30&lt;=0,0,MIN(C30+D30,Plan!$E$23+(Plan!$C$17+IF(C30&lt;=0,Plan!$E$23,MAX(0,Plan!$E$23-(C30+D30)))+IF(H30&lt;=0,Plan!$E$24,MAX(0,Plan!$E$24-(H30+I30)))+IF(M30&lt;=0,Plan!$E$25,MAX(0,Plan!$E$25-(M30+N30)))+IF(R30&lt;=0,Plan!$E$26,MAX(0,Plan!$E$26-(R30+S30)))+IF(W30&lt;=0,Plan!$E$27,MAX(0,Plan!$E$27-(W30+X30)))+IF(AB30&lt;=0,Plan!$E$28,MAX(0,Plan!$E$28-(AB30+AC30))))))</f>
        <v/>
      </c>
      <c r="F30" s="44">
        <f>MAX(0,C30+D30-E30)</f>
        <v/>
      </c>
      <c r="G30" s="45">
        <f>(Plan!$C$17+IF(C30&lt;=0,Plan!$E$23,MAX(0,Plan!$E$23-(C30+D30)))+IF(H30&lt;=0,Plan!$E$24,MAX(0,Plan!$E$24-(H30+I30)))+IF(M30&lt;=0,Plan!$E$25,MAX(0,Plan!$E$25-(M30+N30)))+IF(R30&lt;=0,Plan!$E$26,MAX(0,Plan!$E$26-(R30+S30)))+IF(W30&lt;=0,Plan!$E$27,MAX(0,Plan!$E$27-(W30+X30)))+IF(AB30&lt;=0,Plan!$E$28,MAX(0,Plan!$E$28-(AB30+AC30))))-IF(C30&lt;=0,0,MAX(0,E30-Plan!$E$23))</f>
        <v/>
      </c>
      <c r="H30" s="42">
        <f>K29</f>
        <v/>
      </c>
      <c r="I30" s="43">
        <f>IF(H30&gt;0,H30*Plan!$D$24/100/12,0)</f>
        <v/>
      </c>
      <c r="J30" s="42">
        <f>IF(H30&lt;=0,0,MIN(H30+I30,Plan!$E$24+G30))</f>
        <v/>
      </c>
      <c r="K30" s="44">
        <f>MAX(0,H30+I30-J30)</f>
        <v/>
      </c>
      <c r="L30" s="45">
        <f>G30-IF(H30&lt;=0,0,MAX(0,J30-Plan!$E$24))</f>
        <v/>
      </c>
      <c r="M30" s="42">
        <f>P29</f>
        <v/>
      </c>
      <c r="N30" s="43">
        <f>IF(M30&gt;0,M30*Plan!$D$25/100/12,0)</f>
        <v/>
      </c>
      <c r="O30" s="42">
        <f>IF(M30&lt;=0,0,MIN(M30+N30,Plan!$E$25+L30))</f>
        <v/>
      </c>
      <c r="P30" s="44">
        <f>MAX(0,M30+N30-O30)</f>
        <v/>
      </c>
      <c r="Q30" s="45">
        <f>L30-IF(M30&lt;=0,0,MAX(0,O30-Plan!$E$25))</f>
        <v/>
      </c>
      <c r="R30" s="42">
        <f>U29</f>
        <v/>
      </c>
      <c r="S30" s="43">
        <f>IF(R30&gt;0,R30*Plan!$D$26/100/12,0)</f>
        <v/>
      </c>
      <c r="T30" s="42">
        <f>IF(R30&lt;=0,0,MIN(R30+S30,Plan!$E$26+Q30))</f>
        <v/>
      </c>
      <c r="U30" s="44">
        <f>MAX(0,R30+S30-T30)</f>
        <v/>
      </c>
      <c r="V30" s="45">
        <f>Q30-IF(R30&lt;=0,0,MAX(0,T30-Plan!$E$26))</f>
        <v/>
      </c>
      <c r="W30" s="42">
        <f>Z29</f>
        <v/>
      </c>
      <c r="X30" s="43">
        <f>IF(W30&gt;0,W30*Plan!$D$27/100/12,0)</f>
        <v/>
      </c>
      <c r="Y30" s="42">
        <f>IF(W30&lt;=0,0,MIN(W30+X30,Plan!$E$27+V30))</f>
        <v/>
      </c>
      <c r="Z30" s="44">
        <f>MAX(0,W30+X30-Y30)</f>
        <v/>
      </c>
      <c r="AA30" s="45">
        <f>V30-IF(W30&lt;=0,0,MAX(0,Y30-Plan!$E$27))</f>
        <v/>
      </c>
      <c r="AB30" s="42">
        <f>AE29</f>
        <v/>
      </c>
      <c r="AC30" s="43">
        <f>IF(AB30&gt;0,AB30*Plan!$D$28/100/12,0)</f>
        <v/>
      </c>
      <c r="AD30" s="42">
        <f>IF(AB30&lt;=0,0,MIN(AB30+AC30,Plan!$E$28+AA30))</f>
        <v/>
      </c>
      <c r="AE30" s="44">
        <f>MAX(0,AB30+AC30-AD30)</f>
        <v/>
      </c>
      <c r="AF30" s="45">
        <f>AA30-IF(AB30&lt;=0,0,MAX(0,AD30-Plan!$E$28))</f>
        <v/>
      </c>
      <c r="AG30" s="44">
        <f>F30+K30+P30+U30+Z30+AE30</f>
        <v/>
      </c>
    </row>
    <row r="31">
      <c r="A31" s="46" t="n">
        <v>24</v>
      </c>
      <c r="B31" s="47">
        <f>EDATE(Plan!$C$18,23)</f>
        <v/>
      </c>
      <c r="C31" s="48">
        <f>F30</f>
        <v/>
      </c>
      <c r="D31" s="49">
        <f>IF(C31&gt;0,C31*Plan!$D$23/100/12,0)</f>
        <v/>
      </c>
      <c r="E31" s="48">
        <f>IF(C31&lt;=0,0,MIN(C31+D31,Plan!$E$23+(Plan!$C$17+IF(C31&lt;=0,Plan!$E$23,MAX(0,Plan!$E$23-(C31+D31)))+IF(H31&lt;=0,Plan!$E$24,MAX(0,Plan!$E$24-(H31+I31)))+IF(M31&lt;=0,Plan!$E$25,MAX(0,Plan!$E$25-(M31+N31)))+IF(R31&lt;=0,Plan!$E$26,MAX(0,Plan!$E$26-(R31+S31)))+IF(W31&lt;=0,Plan!$E$27,MAX(0,Plan!$E$27-(W31+X31)))+IF(AB31&lt;=0,Plan!$E$28,MAX(0,Plan!$E$28-(AB31+AC31))))))</f>
        <v/>
      </c>
      <c r="F31" s="50">
        <f>MAX(0,C31+D31-E31)</f>
        <v/>
      </c>
      <c r="G31" s="51">
        <f>(Plan!$C$17+IF(C31&lt;=0,Plan!$E$23,MAX(0,Plan!$E$23-(C31+D31)))+IF(H31&lt;=0,Plan!$E$24,MAX(0,Plan!$E$24-(H31+I31)))+IF(M31&lt;=0,Plan!$E$25,MAX(0,Plan!$E$25-(M31+N31)))+IF(R31&lt;=0,Plan!$E$26,MAX(0,Plan!$E$26-(R31+S31)))+IF(W31&lt;=0,Plan!$E$27,MAX(0,Plan!$E$27-(W31+X31)))+IF(AB31&lt;=0,Plan!$E$28,MAX(0,Plan!$E$28-(AB31+AC31))))-IF(C31&lt;=0,0,MAX(0,E31-Plan!$E$23))</f>
        <v/>
      </c>
      <c r="H31" s="48">
        <f>K30</f>
        <v/>
      </c>
      <c r="I31" s="49">
        <f>IF(H31&gt;0,H31*Plan!$D$24/100/12,0)</f>
        <v/>
      </c>
      <c r="J31" s="48">
        <f>IF(H31&lt;=0,0,MIN(H31+I31,Plan!$E$24+G31))</f>
        <v/>
      </c>
      <c r="K31" s="50">
        <f>MAX(0,H31+I31-J31)</f>
        <v/>
      </c>
      <c r="L31" s="51">
        <f>G31-IF(H31&lt;=0,0,MAX(0,J31-Plan!$E$24))</f>
        <v/>
      </c>
      <c r="M31" s="48">
        <f>P30</f>
        <v/>
      </c>
      <c r="N31" s="49">
        <f>IF(M31&gt;0,M31*Plan!$D$25/100/12,0)</f>
        <v/>
      </c>
      <c r="O31" s="48">
        <f>IF(M31&lt;=0,0,MIN(M31+N31,Plan!$E$25+L31))</f>
        <v/>
      </c>
      <c r="P31" s="50">
        <f>MAX(0,M31+N31-O31)</f>
        <v/>
      </c>
      <c r="Q31" s="51">
        <f>L31-IF(M31&lt;=0,0,MAX(0,O31-Plan!$E$25))</f>
        <v/>
      </c>
      <c r="R31" s="48">
        <f>U30</f>
        <v/>
      </c>
      <c r="S31" s="49">
        <f>IF(R31&gt;0,R31*Plan!$D$26/100/12,0)</f>
        <v/>
      </c>
      <c r="T31" s="48">
        <f>IF(R31&lt;=0,0,MIN(R31+S31,Plan!$E$26+Q31))</f>
        <v/>
      </c>
      <c r="U31" s="50">
        <f>MAX(0,R31+S31-T31)</f>
        <v/>
      </c>
      <c r="V31" s="51">
        <f>Q31-IF(R31&lt;=0,0,MAX(0,T31-Plan!$E$26))</f>
        <v/>
      </c>
      <c r="W31" s="48">
        <f>Z30</f>
        <v/>
      </c>
      <c r="X31" s="49">
        <f>IF(W31&gt;0,W31*Plan!$D$27/100/12,0)</f>
        <v/>
      </c>
      <c r="Y31" s="48">
        <f>IF(W31&lt;=0,0,MIN(W31+X31,Plan!$E$27+V31))</f>
        <v/>
      </c>
      <c r="Z31" s="50">
        <f>MAX(0,W31+X31-Y31)</f>
        <v/>
      </c>
      <c r="AA31" s="51">
        <f>V31-IF(W31&lt;=0,0,MAX(0,Y31-Plan!$E$27))</f>
        <v/>
      </c>
      <c r="AB31" s="48">
        <f>AE30</f>
        <v/>
      </c>
      <c r="AC31" s="49">
        <f>IF(AB31&gt;0,AB31*Plan!$D$28/100/12,0)</f>
        <v/>
      </c>
      <c r="AD31" s="48">
        <f>IF(AB31&lt;=0,0,MIN(AB31+AC31,Plan!$E$28+AA31))</f>
        <v/>
      </c>
      <c r="AE31" s="50">
        <f>MAX(0,AB31+AC31-AD31)</f>
        <v/>
      </c>
      <c r="AF31" s="51">
        <f>AA31-IF(AB31&lt;=0,0,MAX(0,AD31-Plan!$E$28))</f>
        <v/>
      </c>
      <c r="AG31" s="50">
        <f>F31+K31+P31+U31+Z31+AE31</f>
        <v/>
      </c>
    </row>
    <row r="32">
      <c r="A32" s="40" t="n">
        <v>25</v>
      </c>
      <c r="B32" s="41">
        <f>EDATE(Plan!$C$18,24)</f>
        <v/>
      </c>
      <c r="C32" s="42">
        <f>F31</f>
        <v/>
      </c>
      <c r="D32" s="43">
        <f>IF(C32&gt;0,C32*Plan!$D$23/100/12,0)</f>
        <v/>
      </c>
      <c r="E32" s="42">
        <f>IF(C32&lt;=0,0,MIN(C32+D32,Plan!$E$23+(Plan!$C$17+IF(C32&lt;=0,Plan!$E$23,MAX(0,Plan!$E$23-(C32+D32)))+IF(H32&lt;=0,Plan!$E$24,MAX(0,Plan!$E$24-(H32+I32)))+IF(M32&lt;=0,Plan!$E$25,MAX(0,Plan!$E$25-(M32+N32)))+IF(R32&lt;=0,Plan!$E$26,MAX(0,Plan!$E$26-(R32+S32)))+IF(W32&lt;=0,Plan!$E$27,MAX(0,Plan!$E$27-(W32+X32)))+IF(AB32&lt;=0,Plan!$E$28,MAX(0,Plan!$E$28-(AB32+AC32))))))</f>
        <v/>
      </c>
      <c r="F32" s="44">
        <f>MAX(0,C32+D32-E32)</f>
        <v/>
      </c>
      <c r="G32" s="45">
        <f>(Plan!$C$17+IF(C32&lt;=0,Plan!$E$23,MAX(0,Plan!$E$23-(C32+D32)))+IF(H32&lt;=0,Plan!$E$24,MAX(0,Plan!$E$24-(H32+I32)))+IF(M32&lt;=0,Plan!$E$25,MAX(0,Plan!$E$25-(M32+N32)))+IF(R32&lt;=0,Plan!$E$26,MAX(0,Plan!$E$26-(R32+S32)))+IF(W32&lt;=0,Plan!$E$27,MAX(0,Plan!$E$27-(W32+X32)))+IF(AB32&lt;=0,Plan!$E$28,MAX(0,Plan!$E$28-(AB32+AC32))))-IF(C32&lt;=0,0,MAX(0,E32-Plan!$E$23))</f>
        <v/>
      </c>
      <c r="H32" s="42">
        <f>K31</f>
        <v/>
      </c>
      <c r="I32" s="43">
        <f>IF(H32&gt;0,H32*Plan!$D$24/100/12,0)</f>
        <v/>
      </c>
      <c r="J32" s="42">
        <f>IF(H32&lt;=0,0,MIN(H32+I32,Plan!$E$24+G32))</f>
        <v/>
      </c>
      <c r="K32" s="44">
        <f>MAX(0,H32+I32-J32)</f>
        <v/>
      </c>
      <c r="L32" s="45">
        <f>G32-IF(H32&lt;=0,0,MAX(0,J32-Plan!$E$24))</f>
        <v/>
      </c>
      <c r="M32" s="42">
        <f>P31</f>
        <v/>
      </c>
      <c r="N32" s="43">
        <f>IF(M32&gt;0,M32*Plan!$D$25/100/12,0)</f>
        <v/>
      </c>
      <c r="O32" s="42">
        <f>IF(M32&lt;=0,0,MIN(M32+N32,Plan!$E$25+L32))</f>
        <v/>
      </c>
      <c r="P32" s="44">
        <f>MAX(0,M32+N32-O32)</f>
        <v/>
      </c>
      <c r="Q32" s="45">
        <f>L32-IF(M32&lt;=0,0,MAX(0,O32-Plan!$E$25))</f>
        <v/>
      </c>
      <c r="R32" s="42">
        <f>U31</f>
        <v/>
      </c>
      <c r="S32" s="43">
        <f>IF(R32&gt;0,R32*Plan!$D$26/100/12,0)</f>
        <v/>
      </c>
      <c r="T32" s="42">
        <f>IF(R32&lt;=0,0,MIN(R32+S32,Plan!$E$26+Q32))</f>
        <v/>
      </c>
      <c r="U32" s="44">
        <f>MAX(0,R32+S32-T32)</f>
        <v/>
      </c>
      <c r="V32" s="45">
        <f>Q32-IF(R32&lt;=0,0,MAX(0,T32-Plan!$E$26))</f>
        <v/>
      </c>
      <c r="W32" s="42">
        <f>Z31</f>
        <v/>
      </c>
      <c r="X32" s="43">
        <f>IF(W32&gt;0,W32*Plan!$D$27/100/12,0)</f>
        <v/>
      </c>
      <c r="Y32" s="42">
        <f>IF(W32&lt;=0,0,MIN(W32+X32,Plan!$E$27+V32))</f>
        <v/>
      </c>
      <c r="Z32" s="44">
        <f>MAX(0,W32+X32-Y32)</f>
        <v/>
      </c>
      <c r="AA32" s="45">
        <f>V32-IF(W32&lt;=0,0,MAX(0,Y32-Plan!$E$27))</f>
        <v/>
      </c>
      <c r="AB32" s="42">
        <f>AE31</f>
        <v/>
      </c>
      <c r="AC32" s="43">
        <f>IF(AB32&gt;0,AB32*Plan!$D$28/100/12,0)</f>
        <v/>
      </c>
      <c r="AD32" s="42">
        <f>IF(AB32&lt;=0,0,MIN(AB32+AC32,Plan!$E$28+AA32))</f>
        <v/>
      </c>
      <c r="AE32" s="44">
        <f>MAX(0,AB32+AC32-AD32)</f>
        <v/>
      </c>
      <c r="AF32" s="45">
        <f>AA32-IF(AB32&lt;=0,0,MAX(0,AD32-Plan!$E$28))</f>
        <v/>
      </c>
      <c r="AG32" s="44">
        <f>F32+K32+P32+U32+Z32+AE32</f>
        <v/>
      </c>
    </row>
    <row r="33">
      <c r="A33" s="46" t="n">
        <v>26</v>
      </c>
      <c r="B33" s="47">
        <f>EDATE(Plan!$C$18,25)</f>
        <v/>
      </c>
      <c r="C33" s="48">
        <f>F32</f>
        <v/>
      </c>
      <c r="D33" s="49">
        <f>IF(C33&gt;0,C33*Plan!$D$23/100/12,0)</f>
        <v/>
      </c>
      <c r="E33" s="48">
        <f>IF(C33&lt;=0,0,MIN(C33+D33,Plan!$E$23+(Plan!$C$17+IF(C33&lt;=0,Plan!$E$23,MAX(0,Plan!$E$23-(C33+D33)))+IF(H33&lt;=0,Plan!$E$24,MAX(0,Plan!$E$24-(H33+I33)))+IF(M33&lt;=0,Plan!$E$25,MAX(0,Plan!$E$25-(M33+N33)))+IF(R33&lt;=0,Plan!$E$26,MAX(0,Plan!$E$26-(R33+S33)))+IF(W33&lt;=0,Plan!$E$27,MAX(0,Plan!$E$27-(W33+X33)))+IF(AB33&lt;=0,Plan!$E$28,MAX(0,Plan!$E$28-(AB33+AC33))))))</f>
        <v/>
      </c>
      <c r="F33" s="50">
        <f>MAX(0,C33+D33-E33)</f>
        <v/>
      </c>
      <c r="G33" s="51">
        <f>(Plan!$C$17+IF(C33&lt;=0,Plan!$E$23,MAX(0,Plan!$E$23-(C33+D33)))+IF(H33&lt;=0,Plan!$E$24,MAX(0,Plan!$E$24-(H33+I33)))+IF(M33&lt;=0,Plan!$E$25,MAX(0,Plan!$E$25-(M33+N33)))+IF(R33&lt;=0,Plan!$E$26,MAX(0,Plan!$E$26-(R33+S33)))+IF(W33&lt;=0,Plan!$E$27,MAX(0,Plan!$E$27-(W33+X33)))+IF(AB33&lt;=0,Plan!$E$28,MAX(0,Plan!$E$28-(AB33+AC33))))-IF(C33&lt;=0,0,MAX(0,E33-Plan!$E$23))</f>
        <v/>
      </c>
      <c r="H33" s="48">
        <f>K32</f>
        <v/>
      </c>
      <c r="I33" s="49">
        <f>IF(H33&gt;0,H33*Plan!$D$24/100/12,0)</f>
        <v/>
      </c>
      <c r="J33" s="48">
        <f>IF(H33&lt;=0,0,MIN(H33+I33,Plan!$E$24+G33))</f>
        <v/>
      </c>
      <c r="K33" s="50">
        <f>MAX(0,H33+I33-J33)</f>
        <v/>
      </c>
      <c r="L33" s="51">
        <f>G33-IF(H33&lt;=0,0,MAX(0,J33-Plan!$E$24))</f>
        <v/>
      </c>
      <c r="M33" s="48">
        <f>P32</f>
        <v/>
      </c>
      <c r="N33" s="49">
        <f>IF(M33&gt;0,M33*Plan!$D$25/100/12,0)</f>
        <v/>
      </c>
      <c r="O33" s="48">
        <f>IF(M33&lt;=0,0,MIN(M33+N33,Plan!$E$25+L33))</f>
        <v/>
      </c>
      <c r="P33" s="50">
        <f>MAX(0,M33+N33-O33)</f>
        <v/>
      </c>
      <c r="Q33" s="51">
        <f>L33-IF(M33&lt;=0,0,MAX(0,O33-Plan!$E$25))</f>
        <v/>
      </c>
      <c r="R33" s="48">
        <f>U32</f>
        <v/>
      </c>
      <c r="S33" s="49">
        <f>IF(R33&gt;0,R33*Plan!$D$26/100/12,0)</f>
        <v/>
      </c>
      <c r="T33" s="48">
        <f>IF(R33&lt;=0,0,MIN(R33+S33,Plan!$E$26+Q33))</f>
        <v/>
      </c>
      <c r="U33" s="50">
        <f>MAX(0,R33+S33-T33)</f>
        <v/>
      </c>
      <c r="V33" s="51">
        <f>Q33-IF(R33&lt;=0,0,MAX(0,T33-Plan!$E$26))</f>
        <v/>
      </c>
      <c r="W33" s="48">
        <f>Z32</f>
        <v/>
      </c>
      <c r="X33" s="49">
        <f>IF(W33&gt;0,W33*Plan!$D$27/100/12,0)</f>
        <v/>
      </c>
      <c r="Y33" s="48">
        <f>IF(W33&lt;=0,0,MIN(W33+X33,Plan!$E$27+V33))</f>
        <v/>
      </c>
      <c r="Z33" s="50">
        <f>MAX(0,W33+X33-Y33)</f>
        <v/>
      </c>
      <c r="AA33" s="51">
        <f>V33-IF(W33&lt;=0,0,MAX(0,Y33-Plan!$E$27))</f>
        <v/>
      </c>
      <c r="AB33" s="48">
        <f>AE32</f>
        <v/>
      </c>
      <c r="AC33" s="49">
        <f>IF(AB33&gt;0,AB33*Plan!$D$28/100/12,0)</f>
        <v/>
      </c>
      <c r="AD33" s="48">
        <f>IF(AB33&lt;=0,0,MIN(AB33+AC33,Plan!$E$28+AA33))</f>
        <v/>
      </c>
      <c r="AE33" s="50">
        <f>MAX(0,AB33+AC33-AD33)</f>
        <v/>
      </c>
      <c r="AF33" s="51">
        <f>AA33-IF(AB33&lt;=0,0,MAX(0,AD33-Plan!$E$28))</f>
        <v/>
      </c>
      <c r="AG33" s="50">
        <f>F33+K33+P33+U33+Z33+AE33</f>
        <v/>
      </c>
    </row>
    <row r="34">
      <c r="A34" s="40" t="n">
        <v>27</v>
      </c>
      <c r="B34" s="41">
        <f>EDATE(Plan!$C$18,26)</f>
        <v/>
      </c>
      <c r="C34" s="42">
        <f>F33</f>
        <v/>
      </c>
      <c r="D34" s="43">
        <f>IF(C34&gt;0,C34*Plan!$D$23/100/12,0)</f>
        <v/>
      </c>
      <c r="E34" s="42">
        <f>IF(C34&lt;=0,0,MIN(C34+D34,Plan!$E$23+(Plan!$C$17+IF(C34&lt;=0,Plan!$E$23,MAX(0,Plan!$E$23-(C34+D34)))+IF(H34&lt;=0,Plan!$E$24,MAX(0,Plan!$E$24-(H34+I34)))+IF(M34&lt;=0,Plan!$E$25,MAX(0,Plan!$E$25-(M34+N34)))+IF(R34&lt;=0,Plan!$E$26,MAX(0,Plan!$E$26-(R34+S34)))+IF(W34&lt;=0,Plan!$E$27,MAX(0,Plan!$E$27-(W34+X34)))+IF(AB34&lt;=0,Plan!$E$28,MAX(0,Plan!$E$28-(AB34+AC34))))))</f>
        <v/>
      </c>
      <c r="F34" s="44">
        <f>MAX(0,C34+D34-E34)</f>
        <v/>
      </c>
      <c r="G34" s="45">
        <f>(Plan!$C$17+IF(C34&lt;=0,Plan!$E$23,MAX(0,Plan!$E$23-(C34+D34)))+IF(H34&lt;=0,Plan!$E$24,MAX(0,Plan!$E$24-(H34+I34)))+IF(M34&lt;=0,Plan!$E$25,MAX(0,Plan!$E$25-(M34+N34)))+IF(R34&lt;=0,Plan!$E$26,MAX(0,Plan!$E$26-(R34+S34)))+IF(W34&lt;=0,Plan!$E$27,MAX(0,Plan!$E$27-(W34+X34)))+IF(AB34&lt;=0,Plan!$E$28,MAX(0,Plan!$E$28-(AB34+AC34))))-IF(C34&lt;=0,0,MAX(0,E34-Plan!$E$23))</f>
        <v/>
      </c>
      <c r="H34" s="42">
        <f>K33</f>
        <v/>
      </c>
      <c r="I34" s="43">
        <f>IF(H34&gt;0,H34*Plan!$D$24/100/12,0)</f>
        <v/>
      </c>
      <c r="J34" s="42">
        <f>IF(H34&lt;=0,0,MIN(H34+I34,Plan!$E$24+G34))</f>
        <v/>
      </c>
      <c r="K34" s="44">
        <f>MAX(0,H34+I34-J34)</f>
        <v/>
      </c>
      <c r="L34" s="45">
        <f>G34-IF(H34&lt;=0,0,MAX(0,J34-Plan!$E$24))</f>
        <v/>
      </c>
      <c r="M34" s="42">
        <f>P33</f>
        <v/>
      </c>
      <c r="N34" s="43">
        <f>IF(M34&gt;0,M34*Plan!$D$25/100/12,0)</f>
        <v/>
      </c>
      <c r="O34" s="42">
        <f>IF(M34&lt;=0,0,MIN(M34+N34,Plan!$E$25+L34))</f>
        <v/>
      </c>
      <c r="P34" s="44">
        <f>MAX(0,M34+N34-O34)</f>
        <v/>
      </c>
      <c r="Q34" s="45">
        <f>L34-IF(M34&lt;=0,0,MAX(0,O34-Plan!$E$25))</f>
        <v/>
      </c>
      <c r="R34" s="42">
        <f>U33</f>
        <v/>
      </c>
      <c r="S34" s="43">
        <f>IF(R34&gt;0,R34*Plan!$D$26/100/12,0)</f>
        <v/>
      </c>
      <c r="T34" s="42">
        <f>IF(R34&lt;=0,0,MIN(R34+S34,Plan!$E$26+Q34))</f>
        <v/>
      </c>
      <c r="U34" s="44">
        <f>MAX(0,R34+S34-T34)</f>
        <v/>
      </c>
      <c r="V34" s="45">
        <f>Q34-IF(R34&lt;=0,0,MAX(0,T34-Plan!$E$26))</f>
        <v/>
      </c>
      <c r="W34" s="42">
        <f>Z33</f>
        <v/>
      </c>
      <c r="X34" s="43">
        <f>IF(W34&gt;0,W34*Plan!$D$27/100/12,0)</f>
        <v/>
      </c>
      <c r="Y34" s="42">
        <f>IF(W34&lt;=0,0,MIN(W34+X34,Plan!$E$27+V34))</f>
        <v/>
      </c>
      <c r="Z34" s="44">
        <f>MAX(0,W34+X34-Y34)</f>
        <v/>
      </c>
      <c r="AA34" s="45">
        <f>V34-IF(W34&lt;=0,0,MAX(0,Y34-Plan!$E$27))</f>
        <v/>
      </c>
      <c r="AB34" s="42">
        <f>AE33</f>
        <v/>
      </c>
      <c r="AC34" s="43">
        <f>IF(AB34&gt;0,AB34*Plan!$D$28/100/12,0)</f>
        <v/>
      </c>
      <c r="AD34" s="42">
        <f>IF(AB34&lt;=0,0,MIN(AB34+AC34,Plan!$E$28+AA34))</f>
        <v/>
      </c>
      <c r="AE34" s="44">
        <f>MAX(0,AB34+AC34-AD34)</f>
        <v/>
      </c>
      <c r="AF34" s="45">
        <f>AA34-IF(AB34&lt;=0,0,MAX(0,AD34-Plan!$E$28))</f>
        <v/>
      </c>
      <c r="AG34" s="44">
        <f>F34+K34+P34+U34+Z34+AE34</f>
        <v/>
      </c>
    </row>
    <row r="35">
      <c r="A35" s="46" t="n">
        <v>28</v>
      </c>
      <c r="B35" s="47">
        <f>EDATE(Plan!$C$18,27)</f>
        <v/>
      </c>
      <c r="C35" s="48">
        <f>F34</f>
        <v/>
      </c>
      <c r="D35" s="49">
        <f>IF(C35&gt;0,C35*Plan!$D$23/100/12,0)</f>
        <v/>
      </c>
      <c r="E35" s="48">
        <f>IF(C35&lt;=0,0,MIN(C35+D35,Plan!$E$23+(Plan!$C$17+IF(C35&lt;=0,Plan!$E$23,MAX(0,Plan!$E$23-(C35+D35)))+IF(H35&lt;=0,Plan!$E$24,MAX(0,Plan!$E$24-(H35+I35)))+IF(M35&lt;=0,Plan!$E$25,MAX(0,Plan!$E$25-(M35+N35)))+IF(R35&lt;=0,Plan!$E$26,MAX(0,Plan!$E$26-(R35+S35)))+IF(W35&lt;=0,Plan!$E$27,MAX(0,Plan!$E$27-(W35+X35)))+IF(AB35&lt;=0,Plan!$E$28,MAX(0,Plan!$E$28-(AB35+AC35))))))</f>
        <v/>
      </c>
      <c r="F35" s="50">
        <f>MAX(0,C35+D35-E35)</f>
        <v/>
      </c>
      <c r="G35" s="51">
        <f>(Plan!$C$17+IF(C35&lt;=0,Plan!$E$23,MAX(0,Plan!$E$23-(C35+D35)))+IF(H35&lt;=0,Plan!$E$24,MAX(0,Plan!$E$24-(H35+I35)))+IF(M35&lt;=0,Plan!$E$25,MAX(0,Plan!$E$25-(M35+N35)))+IF(R35&lt;=0,Plan!$E$26,MAX(0,Plan!$E$26-(R35+S35)))+IF(W35&lt;=0,Plan!$E$27,MAX(0,Plan!$E$27-(W35+X35)))+IF(AB35&lt;=0,Plan!$E$28,MAX(0,Plan!$E$28-(AB35+AC35))))-IF(C35&lt;=0,0,MAX(0,E35-Plan!$E$23))</f>
        <v/>
      </c>
      <c r="H35" s="48">
        <f>K34</f>
        <v/>
      </c>
      <c r="I35" s="49">
        <f>IF(H35&gt;0,H35*Plan!$D$24/100/12,0)</f>
        <v/>
      </c>
      <c r="J35" s="48">
        <f>IF(H35&lt;=0,0,MIN(H35+I35,Plan!$E$24+G35))</f>
        <v/>
      </c>
      <c r="K35" s="50">
        <f>MAX(0,H35+I35-J35)</f>
        <v/>
      </c>
      <c r="L35" s="51">
        <f>G35-IF(H35&lt;=0,0,MAX(0,J35-Plan!$E$24))</f>
        <v/>
      </c>
      <c r="M35" s="48">
        <f>P34</f>
        <v/>
      </c>
      <c r="N35" s="49">
        <f>IF(M35&gt;0,M35*Plan!$D$25/100/12,0)</f>
        <v/>
      </c>
      <c r="O35" s="48">
        <f>IF(M35&lt;=0,0,MIN(M35+N35,Plan!$E$25+L35))</f>
        <v/>
      </c>
      <c r="P35" s="50">
        <f>MAX(0,M35+N35-O35)</f>
        <v/>
      </c>
      <c r="Q35" s="51">
        <f>L35-IF(M35&lt;=0,0,MAX(0,O35-Plan!$E$25))</f>
        <v/>
      </c>
      <c r="R35" s="48">
        <f>U34</f>
        <v/>
      </c>
      <c r="S35" s="49">
        <f>IF(R35&gt;0,R35*Plan!$D$26/100/12,0)</f>
        <v/>
      </c>
      <c r="T35" s="48">
        <f>IF(R35&lt;=0,0,MIN(R35+S35,Plan!$E$26+Q35))</f>
        <v/>
      </c>
      <c r="U35" s="50">
        <f>MAX(0,R35+S35-T35)</f>
        <v/>
      </c>
      <c r="V35" s="51">
        <f>Q35-IF(R35&lt;=0,0,MAX(0,T35-Plan!$E$26))</f>
        <v/>
      </c>
      <c r="W35" s="48">
        <f>Z34</f>
        <v/>
      </c>
      <c r="X35" s="49">
        <f>IF(W35&gt;0,W35*Plan!$D$27/100/12,0)</f>
        <v/>
      </c>
      <c r="Y35" s="48">
        <f>IF(W35&lt;=0,0,MIN(W35+X35,Plan!$E$27+V35))</f>
        <v/>
      </c>
      <c r="Z35" s="50">
        <f>MAX(0,W35+X35-Y35)</f>
        <v/>
      </c>
      <c r="AA35" s="51">
        <f>V35-IF(W35&lt;=0,0,MAX(0,Y35-Plan!$E$27))</f>
        <v/>
      </c>
      <c r="AB35" s="48">
        <f>AE34</f>
        <v/>
      </c>
      <c r="AC35" s="49">
        <f>IF(AB35&gt;0,AB35*Plan!$D$28/100/12,0)</f>
        <v/>
      </c>
      <c r="AD35" s="48">
        <f>IF(AB35&lt;=0,0,MIN(AB35+AC35,Plan!$E$28+AA35))</f>
        <v/>
      </c>
      <c r="AE35" s="50">
        <f>MAX(0,AB35+AC35-AD35)</f>
        <v/>
      </c>
      <c r="AF35" s="51">
        <f>AA35-IF(AB35&lt;=0,0,MAX(0,AD35-Plan!$E$28))</f>
        <v/>
      </c>
      <c r="AG35" s="50">
        <f>F35+K35+P35+U35+Z35+AE35</f>
        <v/>
      </c>
    </row>
    <row r="36">
      <c r="A36" s="40" t="n">
        <v>29</v>
      </c>
      <c r="B36" s="41">
        <f>EDATE(Plan!$C$18,28)</f>
        <v/>
      </c>
      <c r="C36" s="42">
        <f>F35</f>
        <v/>
      </c>
      <c r="D36" s="43">
        <f>IF(C36&gt;0,C36*Plan!$D$23/100/12,0)</f>
        <v/>
      </c>
      <c r="E36" s="42">
        <f>IF(C36&lt;=0,0,MIN(C36+D36,Plan!$E$23+(Plan!$C$17+IF(C36&lt;=0,Plan!$E$23,MAX(0,Plan!$E$23-(C36+D36)))+IF(H36&lt;=0,Plan!$E$24,MAX(0,Plan!$E$24-(H36+I36)))+IF(M36&lt;=0,Plan!$E$25,MAX(0,Plan!$E$25-(M36+N36)))+IF(R36&lt;=0,Plan!$E$26,MAX(0,Plan!$E$26-(R36+S36)))+IF(W36&lt;=0,Plan!$E$27,MAX(0,Plan!$E$27-(W36+X36)))+IF(AB36&lt;=0,Plan!$E$28,MAX(0,Plan!$E$28-(AB36+AC36))))))</f>
        <v/>
      </c>
      <c r="F36" s="44">
        <f>MAX(0,C36+D36-E36)</f>
        <v/>
      </c>
      <c r="G36" s="45">
        <f>(Plan!$C$17+IF(C36&lt;=0,Plan!$E$23,MAX(0,Plan!$E$23-(C36+D36)))+IF(H36&lt;=0,Plan!$E$24,MAX(0,Plan!$E$24-(H36+I36)))+IF(M36&lt;=0,Plan!$E$25,MAX(0,Plan!$E$25-(M36+N36)))+IF(R36&lt;=0,Plan!$E$26,MAX(0,Plan!$E$26-(R36+S36)))+IF(W36&lt;=0,Plan!$E$27,MAX(0,Plan!$E$27-(W36+X36)))+IF(AB36&lt;=0,Plan!$E$28,MAX(0,Plan!$E$28-(AB36+AC36))))-IF(C36&lt;=0,0,MAX(0,E36-Plan!$E$23))</f>
        <v/>
      </c>
      <c r="H36" s="42">
        <f>K35</f>
        <v/>
      </c>
      <c r="I36" s="43">
        <f>IF(H36&gt;0,H36*Plan!$D$24/100/12,0)</f>
        <v/>
      </c>
      <c r="J36" s="42">
        <f>IF(H36&lt;=0,0,MIN(H36+I36,Plan!$E$24+G36))</f>
        <v/>
      </c>
      <c r="K36" s="44">
        <f>MAX(0,H36+I36-J36)</f>
        <v/>
      </c>
      <c r="L36" s="45">
        <f>G36-IF(H36&lt;=0,0,MAX(0,J36-Plan!$E$24))</f>
        <v/>
      </c>
      <c r="M36" s="42">
        <f>P35</f>
        <v/>
      </c>
      <c r="N36" s="43">
        <f>IF(M36&gt;0,M36*Plan!$D$25/100/12,0)</f>
        <v/>
      </c>
      <c r="O36" s="42">
        <f>IF(M36&lt;=0,0,MIN(M36+N36,Plan!$E$25+L36))</f>
        <v/>
      </c>
      <c r="P36" s="44">
        <f>MAX(0,M36+N36-O36)</f>
        <v/>
      </c>
      <c r="Q36" s="45">
        <f>L36-IF(M36&lt;=0,0,MAX(0,O36-Plan!$E$25))</f>
        <v/>
      </c>
      <c r="R36" s="42">
        <f>U35</f>
        <v/>
      </c>
      <c r="S36" s="43">
        <f>IF(R36&gt;0,R36*Plan!$D$26/100/12,0)</f>
        <v/>
      </c>
      <c r="T36" s="42">
        <f>IF(R36&lt;=0,0,MIN(R36+S36,Plan!$E$26+Q36))</f>
        <v/>
      </c>
      <c r="U36" s="44">
        <f>MAX(0,R36+S36-T36)</f>
        <v/>
      </c>
      <c r="V36" s="45">
        <f>Q36-IF(R36&lt;=0,0,MAX(0,T36-Plan!$E$26))</f>
        <v/>
      </c>
      <c r="W36" s="42">
        <f>Z35</f>
        <v/>
      </c>
      <c r="X36" s="43">
        <f>IF(W36&gt;0,W36*Plan!$D$27/100/12,0)</f>
        <v/>
      </c>
      <c r="Y36" s="42">
        <f>IF(W36&lt;=0,0,MIN(W36+X36,Plan!$E$27+V36))</f>
        <v/>
      </c>
      <c r="Z36" s="44">
        <f>MAX(0,W36+X36-Y36)</f>
        <v/>
      </c>
      <c r="AA36" s="45">
        <f>V36-IF(W36&lt;=0,0,MAX(0,Y36-Plan!$E$27))</f>
        <v/>
      </c>
      <c r="AB36" s="42">
        <f>AE35</f>
        <v/>
      </c>
      <c r="AC36" s="43">
        <f>IF(AB36&gt;0,AB36*Plan!$D$28/100/12,0)</f>
        <v/>
      </c>
      <c r="AD36" s="42">
        <f>IF(AB36&lt;=0,0,MIN(AB36+AC36,Plan!$E$28+AA36))</f>
        <v/>
      </c>
      <c r="AE36" s="44">
        <f>MAX(0,AB36+AC36-AD36)</f>
        <v/>
      </c>
      <c r="AF36" s="45">
        <f>AA36-IF(AB36&lt;=0,0,MAX(0,AD36-Plan!$E$28))</f>
        <v/>
      </c>
      <c r="AG36" s="44">
        <f>F36+K36+P36+U36+Z36+AE36</f>
        <v/>
      </c>
    </row>
    <row r="37">
      <c r="A37" s="46" t="n">
        <v>30</v>
      </c>
      <c r="B37" s="47">
        <f>EDATE(Plan!$C$18,29)</f>
        <v/>
      </c>
      <c r="C37" s="48">
        <f>F36</f>
        <v/>
      </c>
      <c r="D37" s="49">
        <f>IF(C37&gt;0,C37*Plan!$D$23/100/12,0)</f>
        <v/>
      </c>
      <c r="E37" s="48">
        <f>IF(C37&lt;=0,0,MIN(C37+D37,Plan!$E$23+(Plan!$C$17+IF(C37&lt;=0,Plan!$E$23,MAX(0,Plan!$E$23-(C37+D37)))+IF(H37&lt;=0,Plan!$E$24,MAX(0,Plan!$E$24-(H37+I37)))+IF(M37&lt;=0,Plan!$E$25,MAX(0,Plan!$E$25-(M37+N37)))+IF(R37&lt;=0,Plan!$E$26,MAX(0,Plan!$E$26-(R37+S37)))+IF(W37&lt;=0,Plan!$E$27,MAX(0,Plan!$E$27-(W37+X37)))+IF(AB37&lt;=0,Plan!$E$28,MAX(0,Plan!$E$28-(AB37+AC37))))))</f>
        <v/>
      </c>
      <c r="F37" s="50">
        <f>MAX(0,C37+D37-E37)</f>
        <v/>
      </c>
      <c r="G37" s="51">
        <f>(Plan!$C$17+IF(C37&lt;=0,Plan!$E$23,MAX(0,Plan!$E$23-(C37+D37)))+IF(H37&lt;=0,Plan!$E$24,MAX(0,Plan!$E$24-(H37+I37)))+IF(M37&lt;=0,Plan!$E$25,MAX(0,Plan!$E$25-(M37+N37)))+IF(R37&lt;=0,Plan!$E$26,MAX(0,Plan!$E$26-(R37+S37)))+IF(W37&lt;=0,Plan!$E$27,MAX(0,Plan!$E$27-(W37+X37)))+IF(AB37&lt;=0,Plan!$E$28,MAX(0,Plan!$E$28-(AB37+AC37))))-IF(C37&lt;=0,0,MAX(0,E37-Plan!$E$23))</f>
        <v/>
      </c>
      <c r="H37" s="48">
        <f>K36</f>
        <v/>
      </c>
      <c r="I37" s="49">
        <f>IF(H37&gt;0,H37*Plan!$D$24/100/12,0)</f>
        <v/>
      </c>
      <c r="J37" s="48">
        <f>IF(H37&lt;=0,0,MIN(H37+I37,Plan!$E$24+G37))</f>
        <v/>
      </c>
      <c r="K37" s="50">
        <f>MAX(0,H37+I37-J37)</f>
        <v/>
      </c>
      <c r="L37" s="51">
        <f>G37-IF(H37&lt;=0,0,MAX(0,J37-Plan!$E$24))</f>
        <v/>
      </c>
      <c r="M37" s="48">
        <f>P36</f>
        <v/>
      </c>
      <c r="N37" s="49">
        <f>IF(M37&gt;0,M37*Plan!$D$25/100/12,0)</f>
        <v/>
      </c>
      <c r="O37" s="48">
        <f>IF(M37&lt;=0,0,MIN(M37+N37,Plan!$E$25+L37))</f>
        <v/>
      </c>
      <c r="P37" s="50">
        <f>MAX(0,M37+N37-O37)</f>
        <v/>
      </c>
      <c r="Q37" s="51">
        <f>L37-IF(M37&lt;=0,0,MAX(0,O37-Plan!$E$25))</f>
        <v/>
      </c>
      <c r="R37" s="48">
        <f>U36</f>
        <v/>
      </c>
      <c r="S37" s="49">
        <f>IF(R37&gt;0,R37*Plan!$D$26/100/12,0)</f>
        <v/>
      </c>
      <c r="T37" s="48">
        <f>IF(R37&lt;=0,0,MIN(R37+S37,Plan!$E$26+Q37))</f>
        <v/>
      </c>
      <c r="U37" s="50">
        <f>MAX(0,R37+S37-T37)</f>
        <v/>
      </c>
      <c r="V37" s="51">
        <f>Q37-IF(R37&lt;=0,0,MAX(0,T37-Plan!$E$26))</f>
        <v/>
      </c>
      <c r="W37" s="48">
        <f>Z36</f>
        <v/>
      </c>
      <c r="X37" s="49">
        <f>IF(W37&gt;0,W37*Plan!$D$27/100/12,0)</f>
        <v/>
      </c>
      <c r="Y37" s="48">
        <f>IF(W37&lt;=0,0,MIN(W37+X37,Plan!$E$27+V37))</f>
        <v/>
      </c>
      <c r="Z37" s="50">
        <f>MAX(0,W37+X37-Y37)</f>
        <v/>
      </c>
      <c r="AA37" s="51">
        <f>V37-IF(W37&lt;=0,0,MAX(0,Y37-Plan!$E$27))</f>
        <v/>
      </c>
      <c r="AB37" s="48">
        <f>AE36</f>
        <v/>
      </c>
      <c r="AC37" s="49">
        <f>IF(AB37&gt;0,AB37*Plan!$D$28/100/12,0)</f>
        <v/>
      </c>
      <c r="AD37" s="48">
        <f>IF(AB37&lt;=0,0,MIN(AB37+AC37,Plan!$E$28+AA37))</f>
        <v/>
      </c>
      <c r="AE37" s="50">
        <f>MAX(0,AB37+AC37-AD37)</f>
        <v/>
      </c>
      <c r="AF37" s="51">
        <f>AA37-IF(AB37&lt;=0,0,MAX(0,AD37-Plan!$E$28))</f>
        <v/>
      </c>
      <c r="AG37" s="50">
        <f>F37+K37+P37+U37+Z37+AE37</f>
        <v/>
      </c>
    </row>
    <row r="38">
      <c r="A38" s="40" t="n">
        <v>31</v>
      </c>
      <c r="B38" s="41">
        <f>EDATE(Plan!$C$18,30)</f>
        <v/>
      </c>
      <c r="C38" s="42">
        <f>F37</f>
        <v/>
      </c>
      <c r="D38" s="43">
        <f>IF(C38&gt;0,C38*Plan!$D$23/100/12,0)</f>
        <v/>
      </c>
      <c r="E38" s="42">
        <f>IF(C38&lt;=0,0,MIN(C38+D38,Plan!$E$23+(Plan!$C$17+IF(C38&lt;=0,Plan!$E$23,MAX(0,Plan!$E$23-(C38+D38)))+IF(H38&lt;=0,Plan!$E$24,MAX(0,Plan!$E$24-(H38+I38)))+IF(M38&lt;=0,Plan!$E$25,MAX(0,Plan!$E$25-(M38+N38)))+IF(R38&lt;=0,Plan!$E$26,MAX(0,Plan!$E$26-(R38+S38)))+IF(W38&lt;=0,Plan!$E$27,MAX(0,Plan!$E$27-(W38+X38)))+IF(AB38&lt;=0,Plan!$E$28,MAX(0,Plan!$E$28-(AB38+AC38))))))</f>
        <v/>
      </c>
      <c r="F38" s="44">
        <f>MAX(0,C38+D38-E38)</f>
        <v/>
      </c>
      <c r="G38" s="45">
        <f>(Plan!$C$17+IF(C38&lt;=0,Plan!$E$23,MAX(0,Plan!$E$23-(C38+D38)))+IF(H38&lt;=0,Plan!$E$24,MAX(0,Plan!$E$24-(H38+I38)))+IF(M38&lt;=0,Plan!$E$25,MAX(0,Plan!$E$25-(M38+N38)))+IF(R38&lt;=0,Plan!$E$26,MAX(0,Plan!$E$26-(R38+S38)))+IF(W38&lt;=0,Plan!$E$27,MAX(0,Plan!$E$27-(W38+X38)))+IF(AB38&lt;=0,Plan!$E$28,MAX(0,Plan!$E$28-(AB38+AC38))))-IF(C38&lt;=0,0,MAX(0,E38-Plan!$E$23))</f>
        <v/>
      </c>
      <c r="H38" s="42">
        <f>K37</f>
        <v/>
      </c>
      <c r="I38" s="43">
        <f>IF(H38&gt;0,H38*Plan!$D$24/100/12,0)</f>
        <v/>
      </c>
      <c r="J38" s="42">
        <f>IF(H38&lt;=0,0,MIN(H38+I38,Plan!$E$24+G38))</f>
        <v/>
      </c>
      <c r="K38" s="44">
        <f>MAX(0,H38+I38-J38)</f>
        <v/>
      </c>
      <c r="L38" s="45">
        <f>G38-IF(H38&lt;=0,0,MAX(0,J38-Plan!$E$24))</f>
        <v/>
      </c>
      <c r="M38" s="42">
        <f>P37</f>
        <v/>
      </c>
      <c r="N38" s="43">
        <f>IF(M38&gt;0,M38*Plan!$D$25/100/12,0)</f>
        <v/>
      </c>
      <c r="O38" s="42">
        <f>IF(M38&lt;=0,0,MIN(M38+N38,Plan!$E$25+L38))</f>
        <v/>
      </c>
      <c r="P38" s="44">
        <f>MAX(0,M38+N38-O38)</f>
        <v/>
      </c>
      <c r="Q38" s="45">
        <f>L38-IF(M38&lt;=0,0,MAX(0,O38-Plan!$E$25))</f>
        <v/>
      </c>
      <c r="R38" s="42">
        <f>U37</f>
        <v/>
      </c>
      <c r="S38" s="43">
        <f>IF(R38&gt;0,R38*Plan!$D$26/100/12,0)</f>
        <v/>
      </c>
      <c r="T38" s="42">
        <f>IF(R38&lt;=0,0,MIN(R38+S38,Plan!$E$26+Q38))</f>
        <v/>
      </c>
      <c r="U38" s="44">
        <f>MAX(0,R38+S38-T38)</f>
        <v/>
      </c>
      <c r="V38" s="45">
        <f>Q38-IF(R38&lt;=0,0,MAX(0,T38-Plan!$E$26))</f>
        <v/>
      </c>
      <c r="W38" s="42">
        <f>Z37</f>
        <v/>
      </c>
      <c r="X38" s="43">
        <f>IF(W38&gt;0,W38*Plan!$D$27/100/12,0)</f>
        <v/>
      </c>
      <c r="Y38" s="42">
        <f>IF(W38&lt;=0,0,MIN(W38+X38,Plan!$E$27+V38))</f>
        <v/>
      </c>
      <c r="Z38" s="44">
        <f>MAX(0,W38+X38-Y38)</f>
        <v/>
      </c>
      <c r="AA38" s="45">
        <f>V38-IF(W38&lt;=0,0,MAX(0,Y38-Plan!$E$27))</f>
        <v/>
      </c>
      <c r="AB38" s="42">
        <f>AE37</f>
        <v/>
      </c>
      <c r="AC38" s="43">
        <f>IF(AB38&gt;0,AB38*Plan!$D$28/100/12,0)</f>
        <v/>
      </c>
      <c r="AD38" s="42">
        <f>IF(AB38&lt;=0,0,MIN(AB38+AC38,Plan!$E$28+AA38))</f>
        <v/>
      </c>
      <c r="AE38" s="44">
        <f>MAX(0,AB38+AC38-AD38)</f>
        <v/>
      </c>
      <c r="AF38" s="45">
        <f>AA38-IF(AB38&lt;=0,0,MAX(0,AD38-Plan!$E$28))</f>
        <v/>
      </c>
      <c r="AG38" s="44">
        <f>F38+K38+P38+U38+Z38+AE38</f>
        <v/>
      </c>
    </row>
    <row r="39">
      <c r="A39" s="46" t="n">
        <v>32</v>
      </c>
      <c r="B39" s="47">
        <f>EDATE(Plan!$C$18,31)</f>
        <v/>
      </c>
      <c r="C39" s="48">
        <f>F38</f>
        <v/>
      </c>
      <c r="D39" s="49">
        <f>IF(C39&gt;0,C39*Plan!$D$23/100/12,0)</f>
        <v/>
      </c>
      <c r="E39" s="48">
        <f>IF(C39&lt;=0,0,MIN(C39+D39,Plan!$E$23+(Plan!$C$17+IF(C39&lt;=0,Plan!$E$23,MAX(0,Plan!$E$23-(C39+D39)))+IF(H39&lt;=0,Plan!$E$24,MAX(0,Plan!$E$24-(H39+I39)))+IF(M39&lt;=0,Plan!$E$25,MAX(0,Plan!$E$25-(M39+N39)))+IF(R39&lt;=0,Plan!$E$26,MAX(0,Plan!$E$26-(R39+S39)))+IF(W39&lt;=0,Plan!$E$27,MAX(0,Plan!$E$27-(W39+X39)))+IF(AB39&lt;=0,Plan!$E$28,MAX(0,Plan!$E$28-(AB39+AC39))))))</f>
        <v/>
      </c>
      <c r="F39" s="50">
        <f>MAX(0,C39+D39-E39)</f>
        <v/>
      </c>
      <c r="G39" s="51">
        <f>(Plan!$C$17+IF(C39&lt;=0,Plan!$E$23,MAX(0,Plan!$E$23-(C39+D39)))+IF(H39&lt;=0,Plan!$E$24,MAX(0,Plan!$E$24-(H39+I39)))+IF(M39&lt;=0,Plan!$E$25,MAX(0,Plan!$E$25-(M39+N39)))+IF(R39&lt;=0,Plan!$E$26,MAX(0,Plan!$E$26-(R39+S39)))+IF(W39&lt;=0,Plan!$E$27,MAX(0,Plan!$E$27-(W39+X39)))+IF(AB39&lt;=0,Plan!$E$28,MAX(0,Plan!$E$28-(AB39+AC39))))-IF(C39&lt;=0,0,MAX(0,E39-Plan!$E$23))</f>
        <v/>
      </c>
      <c r="H39" s="48">
        <f>K38</f>
        <v/>
      </c>
      <c r="I39" s="49">
        <f>IF(H39&gt;0,H39*Plan!$D$24/100/12,0)</f>
        <v/>
      </c>
      <c r="J39" s="48">
        <f>IF(H39&lt;=0,0,MIN(H39+I39,Plan!$E$24+G39))</f>
        <v/>
      </c>
      <c r="K39" s="50">
        <f>MAX(0,H39+I39-J39)</f>
        <v/>
      </c>
      <c r="L39" s="51">
        <f>G39-IF(H39&lt;=0,0,MAX(0,J39-Plan!$E$24))</f>
        <v/>
      </c>
      <c r="M39" s="48">
        <f>P38</f>
        <v/>
      </c>
      <c r="N39" s="49">
        <f>IF(M39&gt;0,M39*Plan!$D$25/100/12,0)</f>
        <v/>
      </c>
      <c r="O39" s="48">
        <f>IF(M39&lt;=0,0,MIN(M39+N39,Plan!$E$25+L39))</f>
        <v/>
      </c>
      <c r="P39" s="50">
        <f>MAX(0,M39+N39-O39)</f>
        <v/>
      </c>
      <c r="Q39" s="51">
        <f>L39-IF(M39&lt;=0,0,MAX(0,O39-Plan!$E$25))</f>
        <v/>
      </c>
      <c r="R39" s="48">
        <f>U38</f>
        <v/>
      </c>
      <c r="S39" s="49">
        <f>IF(R39&gt;0,R39*Plan!$D$26/100/12,0)</f>
        <v/>
      </c>
      <c r="T39" s="48">
        <f>IF(R39&lt;=0,0,MIN(R39+S39,Plan!$E$26+Q39))</f>
        <v/>
      </c>
      <c r="U39" s="50">
        <f>MAX(0,R39+S39-T39)</f>
        <v/>
      </c>
      <c r="V39" s="51">
        <f>Q39-IF(R39&lt;=0,0,MAX(0,T39-Plan!$E$26))</f>
        <v/>
      </c>
      <c r="W39" s="48">
        <f>Z38</f>
        <v/>
      </c>
      <c r="X39" s="49">
        <f>IF(W39&gt;0,W39*Plan!$D$27/100/12,0)</f>
        <v/>
      </c>
      <c r="Y39" s="48">
        <f>IF(W39&lt;=0,0,MIN(W39+X39,Plan!$E$27+V39))</f>
        <v/>
      </c>
      <c r="Z39" s="50">
        <f>MAX(0,W39+X39-Y39)</f>
        <v/>
      </c>
      <c r="AA39" s="51">
        <f>V39-IF(W39&lt;=0,0,MAX(0,Y39-Plan!$E$27))</f>
        <v/>
      </c>
      <c r="AB39" s="48">
        <f>AE38</f>
        <v/>
      </c>
      <c r="AC39" s="49">
        <f>IF(AB39&gt;0,AB39*Plan!$D$28/100/12,0)</f>
        <v/>
      </c>
      <c r="AD39" s="48">
        <f>IF(AB39&lt;=0,0,MIN(AB39+AC39,Plan!$E$28+AA39))</f>
        <v/>
      </c>
      <c r="AE39" s="50">
        <f>MAX(0,AB39+AC39-AD39)</f>
        <v/>
      </c>
      <c r="AF39" s="51">
        <f>AA39-IF(AB39&lt;=0,0,MAX(0,AD39-Plan!$E$28))</f>
        <v/>
      </c>
      <c r="AG39" s="50">
        <f>F39+K39+P39+U39+Z39+AE39</f>
        <v/>
      </c>
    </row>
    <row r="40">
      <c r="A40" s="40" t="n">
        <v>33</v>
      </c>
      <c r="B40" s="41">
        <f>EDATE(Plan!$C$18,32)</f>
        <v/>
      </c>
      <c r="C40" s="42">
        <f>F39</f>
        <v/>
      </c>
      <c r="D40" s="43">
        <f>IF(C40&gt;0,C40*Plan!$D$23/100/12,0)</f>
        <v/>
      </c>
      <c r="E40" s="42">
        <f>IF(C40&lt;=0,0,MIN(C40+D40,Plan!$E$23+(Plan!$C$17+IF(C40&lt;=0,Plan!$E$23,MAX(0,Plan!$E$23-(C40+D40)))+IF(H40&lt;=0,Plan!$E$24,MAX(0,Plan!$E$24-(H40+I40)))+IF(M40&lt;=0,Plan!$E$25,MAX(0,Plan!$E$25-(M40+N40)))+IF(R40&lt;=0,Plan!$E$26,MAX(0,Plan!$E$26-(R40+S40)))+IF(W40&lt;=0,Plan!$E$27,MAX(0,Plan!$E$27-(W40+X40)))+IF(AB40&lt;=0,Plan!$E$28,MAX(0,Plan!$E$28-(AB40+AC40))))))</f>
        <v/>
      </c>
      <c r="F40" s="44">
        <f>MAX(0,C40+D40-E40)</f>
        <v/>
      </c>
      <c r="G40" s="45">
        <f>(Plan!$C$17+IF(C40&lt;=0,Plan!$E$23,MAX(0,Plan!$E$23-(C40+D40)))+IF(H40&lt;=0,Plan!$E$24,MAX(0,Plan!$E$24-(H40+I40)))+IF(M40&lt;=0,Plan!$E$25,MAX(0,Plan!$E$25-(M40+N40)))+IF(R40&lt;=0,Plan!$E$26,MAX(0,Plan!$E$26-(R40+S40)))+IF(W40&lt;=0,Plan!$E$27,MAX(0,Plan!$E$27-(W40+X40)))+IF(AB40&lt;=0,Plan!$E$28,MAX(0,Plan!$E$28-(AB40+AC40))))-IF(C40&lt;=0,0,MAX(0,E40-Plan!$E$23))</f>
        <v/>
      </c>
      <c r="H40" s="42">
        <f>K39</f>
        <v/>
      </c>
      <c r="I40" s="43">
        <f>IF(H40&gt;0,H40*Plan!$D$24/100/12,0)</f>
        <v/>
      </c>
      <c r="J40" s="42">
        <f>IF(H40&lt;=0,0,MIN(H40+I40,Plan!$E$24+G40))</f>
        <v/>
      </c>
      <c r="K40" s="44">
        <f>MAX(0,H40+I40-J40)</f>
        <v/>
      </c>
      <c r="L40" s="45">
        <f>G40-IF(H40&lt;=0,0,MAX(0,J40-Plan!$E$24))</f>
        <v/>
      </c>
      <c r="M40" s="42">
        <f>P39</f>
        <v/>
      </c>
      <c r="N40" s="43">
        <f>IF(M40&gt;0,M40*Plan!$D$25/100/12,0)</f>
        <v/>
      </c>
      <c r="O40" s="42">
        <f>IF(M40&lt;=0,0,MIN(M40+N40,Plan!$E$25+L40))</f>
        <v/>
      </c>
      <c r="P40" s="44">
        <f>MAX(0,M40+N40-O40)</f>
        <v/>
      </c>
      <c r="Q40" s="45">
        <f>L40-IF(M40&lt;=0,0,MAX(0,O40-Plan!$E$25))</f>
        <v/>
      </c>
      <c r="R40" s="42">
        <f>U39</f>
        <v/>
      </c>
      <c r="S40" s="43">
        <f>IF(R40&gt;0,R40*Plan!$D$26/100/12,0)</f>
        <v/>
      </c>
      <c r="T40" s="42">
        <f>IF(R40&lt;=0,0,MIN(R40+S40,Plan!$E$26+Q40))</f>
        <v/>
      </c>
      <c r="U40" s="44">
        <f>MAX(0,R40+S40-T40)</f>
        <v/>
      </c>
      <c r="V40" s="45">
        <f>Q40-IF(R40&lt;=0,0,MAX(0,T40-Plan!$E$26))</f>
        <v/>
      </c>
      <c r="W40" s="42">
        <f>Z39</f>
        <v/>
      </c>
      <c r="X40" s="43">
        <f>IF(W40&gt;0,W40*Plan!$D$27/100/12,0)</f>
        <v/>
      </c>
      <c r="Y40" s="42">
        <f>IF(W40&lt;=0,0,MIN(W40+X40,Plan!$E$27+V40))</f>
        <v/>
      </c>
      <c r="Z40" s="44">
        <f>MAX(0,W40+X40-Y40)</f>
        <v/>
      </c>
      <c r="AA40" s="45">
        <f>V40-IF(W40&lt;=0,0,MAX(0,Y40-Plan!$E$27))</f>
        <v/>
      </c>
      <c r="AB40" s="42">
        <f>AE39</f>
        <v/>
      </c>
      <c r="AC40" s="43">
        <f>IF(AB40&gt;0,AB40*Plan!$D$28/100/12,0)</f>
        <v/>
      </c>
      <c r="AD40" s="42">
        <f>IF(AB40&lt;=0,0,MIN(AB40+AC40,Plan!$E$28+AA40))</f>
        <v/>
      </c>
      <c r="AE40" s="44">
        <f>MAX(0,AB40+AC40-AD40)</f>
        <v/>
      </c>
      <c r="AF40" s="45">
        <f>AA40-IF(AB40&lt;=0,0,MAX(0,AD40-Plan!$E$28))</f>
        <v/>
      </c>
      <c r="AG40" s="44">
        <f>F40+K40+P40+U40+Z40+AE40</f>
        <v/>
      </c>
    </row>
    <row r="41">
      <c r="A41" s="46" t="n">
        <v>34</v>
      </c>
      <c r="B41" s="47">
        <f>EDATE(Plan!$C$18,33)</f>
        <v/>
      </c>
      <c r="C41" s="48">
        <f>F40</f>
        <v/>
      </c>
      <c r="D41" s="49">
        <f>IF(C41&gt;0,C41*Plan!$D$23/100/12,0)</f>
        <v/>
      </c>
      <c r="E41" s="48">
        <f>IF(C41&lt;=0,0,MIN(C41+D41,Plan!$E$23+(Plan!$C$17+IF(C41&lt;=0,Plan!$E$23,MAX(0,Plan!$E$23-(C41+D41)))+IF(H41&lt;=0,Plan!$E$24,MAX(0,Plan!$E$24-(H41+I41)))+IF(M41&lt;=0,Plan!$E$25,MAX(0,Plan!$E$25-(M41+N41)))+IF(R41&lt;=0,Plan!$E$26,MAX(0,Plan!$E$26-(R41+S41)))+IF(W41&lt;=0,Plan!$E$27,MAX(0,Plan!$E$27-(W41+X41)))+IF(AB41&lt;=0,Plan!$E$28,MAX(0,Plan!$E$28-(AB41+AC41))))))</f>
        <v/>
      </c>
      <c r="F41" s="50">
        <f>MAX(0,C41+D41-E41)</f>
        <v/>
      </c>
      <c r="G41" s="51">
        <f>(Plan!$C$17+IF(C41&lt;=0,Plan!$E$23,MAX(0,Plan!$E$23-(C41+D41)))+IF(H41&lt;=0,Plan!$E$24,MAX(0,Plan!$E$24-(H41+I41)))+IF(M41&lt;=0,Plan!$E$25,MAX(0,Plan!$E$25-(M41+N41)))+IF(R41&lt;=0,Plan!$E$26,MAX(0,Plan!$E$26-(R41+S41)))+IF(W41&lt;=0,Plan!$E$27,MAX(0,Plan!$E$27-(W41+X41)))+IF(AB41&lt;=0,Plan!$E$28,MAX(0,Plan!$E$28-(AB41+AC41))))-IF(C41&lt;=0,0,MAX(0,E41-Plan!$E$23))</f>
        <v/>
      </c>
      <c r="H41" s="48">
        <f>K40</f>
        <v/>
      </c>
      <c r="I41" s="49">
        <f>IF(H41&gt;0,H41*Plan!$D$24/100/12,0)</f>
        <v/>
      </c>
      <c r="J41" s="48">
        <f>IF(H41&lt;=0,0,MIN(H41+I41,Plan!$E$24+G41))</f>
        <v/>
      </c>
      <c r="K41" s="50">
        <f>MAX(0,H41+I41-J41)</f>
        <v/>
      </c>
      <c r="L41" s="51">
        <f>G41-IF(H41&lt;=0,0,MAX(0,J41-Plan!$E$24))</f>
        <v/>
      </c>
      <c r="M41" s="48">
        <f>P40</f>
        <v/>
      </c>
      <c r="N41" s="49">
        <f>IF(M41&gt;0,M41*Plan!$D$25/100/12,0)</f>
        <v/>
      </c>
      <c r="O41" s="48">
        <f>IF(M41&lt;=0,0,MIN(M41+N41,Plan!$E$25+L41))</f>
        <v/>
      </c>
      <c r="P41" s="50">
        <f>MAX(0,M41+N41-O41)</f>
        <v/>
      </c>
      <c r="Q41" s="51">
        <f>L41-IF(M41&lt;=0,0,MAX(0,O41-Plan!$E$25))</f>
        <v/>
      </c>
      <c r="R41" s="48">
        <f>U40</f>
        <v/>
      </c>
      <c r="S41" s="49">
        <f>IF(R41&gt;0,R41*Plan!$D$26/100/12,0)</f>
        <v/>
      </c>
      <c r="T41" s="48">
        <f>IF(R41&lt;=0,0,MIN(R41+S41,Plan!$E$26+Q41))</f>
        <v/>
      </c>
      <c r="U41" s="50">
        <f>MAX(0,R41+S41-T41)</f>
        <v/>
      </c>
      <c r="V41" s="51">
        <f>Q41-IF(R41&lt;=0,0,MAX(0,T41-Plan!$E$26))</f>
        <v/>
      </c>
      <c r="W41" s="48">
        <f>Z40</f>
        <v/>
      </c>
      <c r="X41" s="49">
        <f>IF(W41&gt;0,W41*Plan!$D$27/100/12,0)</f>
        <v/>
      </c>
      <c r="Y41" s="48">
        <f>IF(W41&lt;=0,0,MIN(W41+X41,Plan!$E$27+V41))</f>
        <v/>
      </c>
      <c r="Z41" s="50">
        <f>MAX(0,W41+X41-Y41)</f>
        <v/>
      </c>
      <c r="AA41" s="51">
        <f>V41-IF(W41&lt;=0,0,MAX(0,Y41-Plan!$E$27))</f>
        <v/>
      </c>
      <c r="AB41" s="48">
        <f>AE40</f>
        <v/>
      </c>
      <c r="AC41" s="49">
        <f>IF(AB41&gt;0,AB41*Plan!$D$28/100/12,0)</f>
        <v/>
      </c>
      <c r="AD41" s="48">
        <f>IF(AB41&lt;=0,0,MIN(AB41+AC41,Plan!$E$28+AA41))</f>
        <v/>
      </c>
      <c r="AE41" s="50">
        <f>MAX(0,AB41+AC41-AD41)</f>
        <v/>
      </c>
      <c r="AF41" s="51">
        <f>AA41-IF(AB41&lt;=0,0,MAX(0,AD41-Plan!$E$28))</f>
        <v/>
      </c>
      <c r="AG41" s="50">
        <f>F41+K41+P41+U41+Z41+AE41</f>
        <v/>
      </c>
    </row>
    <row r="42">
      <c r="A42" s="40" t="n">
        <v>35</v>
      </c>
      <c r="B42" s="41">
        <f>EDATE(Plan!$C$18,34)</f>
        <v/>
      </c>
      <c r="C42" s="42">
        <f>F41</f>
        <v/>
      </c>
      <c r="D42" s="43">
        <f>IF(C42&gt;0,C42*Plan!$D$23/100/12,0)</f>
        <v/>
      </c>
      <c r="E42" s="42">
        <f>IF(C42&lt;=0,0,MIN(C42+D42,Plan!$E$23+(Plan!$C$17+IF(C42&lt;=0,Plan!$E$23,MAX(0,Plan!$E$23-(C42+D42)))+IF(H42&lt;=0,Plan!$E$24,MAX(0,Plan!$E$24-(H42+I42)))+IF(M42&lt;=0,Plan!$E$25,MAX(0,Plan!$E$25-(M42+N42)))+IF(R42&lt;=0,Plan!$E$26,MAX(0,Plan!$E$26-(R42+S42)))+IF(W42&lt;=0,Plan!$E$27,MAX(0,Plan!$E$27-(W42+X42)))+IF(AB42&lt;=0,Plan!$E$28,MAX(0,Plan!$E$28-(AB42+AC42))))))</f>
        <v/>
      </c>
      <c r="F42" s="44">
        <f>MAX(0,C42+D42-E42)</f>
        <v/>
      </c>
      <c r="G42" s="45">
        <f>(Plan!$C$17+IF(C42&lt;=0,Plan!$E$23,MAX(0,Plan!$E$23-(C42+D42)))+IF(H42&lt;=0,Plan!$E$24,MAX(0,Plan!$E$24-(H42+I42)))+IF(M42&lt;=0,Plan!$E$25,MAX(0,Plan!$E$25-(M42+N42)))+IF(R42&lt;=0,Plan!$E$26,MAX(0,Plan!$E$26-(R42+S42)))+IF(W42&lt;=0,Plan!$E$27,MAX(0,Plan!$E$27-(W42+X42)))+IF(AB42&lt;=0,Plan!$E$28,MAX(0,Plan!$E$28-(AB42+AC42))))-IF(C42&lt;=0,0,MAX(0,E42-Plan!$E$23))</f>
        <v/>
      </c>
      <c r="H42" s="42">
        <f>K41</f>
        <v/>
      </c>
      <c r="I42" s="43">
        <f>IF(H42&gt;0,H42*Plan!$D$24/100/12,0)</f>
        <v/>
      </c>
      <c r="J42" s="42">
        <f>IF(H42&lt;=0,0,MIN(H42+I42,Plan!$E$24+G42))</f>
        <v/>
      </c>
      <c r="K42" s="44">
        <f>MAX(0,H42+I42-J42)</f>
        <v/>
      </c>
      <c r="L42" s="45">
        <f>G42-IF(H42&lt;=0,0,MAX(0,J42-Plan!$E$24))</f>
        <v/>
      </c>
      <c r="M42" s="42">
        <f>P41</f>
        <v/>
      </c>
      <c r="N42" s="43">
        <f>IF(M42&gt;0,M42*Plan!$D$25/100/12,0)</f>
        <v/>
      </c>
      <c r="O42" s="42">
        <f>IF(M42&lt;=0,0,MIN(M42+N42,Plan!$E$25+L42))</f>
        <v/>
      </c>
      <c r="P42" s="44">
        <f>MAX(0,M42+N42-O42)</f>
        <v/>
      </c>
      <c r="Q42" s="45">
        <f>L42-IF(M42&lt;=0,0,MAX(0,O42-Plan!$E$25))</f>
        <v/>
      </c>
      <c r="R42" s="42">
        <f>U41</f>
        <v/>
      </c>
      <c r="S42" s="43">
        <f>IF(R42&gt;0,R42*Plan!$D$26/100/12,0)</f>
        <v/>
      </c>
      <c r="T42" s="42">
        <f>IF(R42&lt;=0,0,MIN(R42+S42,Plan!$E$26+Q42))</f>
        <v/>
      </c>
      <c r="U42" s="44">
        <f>MAX(0,R42+S42-T42)</f>
        <v/>
      </c>
      <c r="V42" s="45">
        <f>Q42-IF(R42&lt;=0,0,MAX(0,T42-Plan!$E$26))</f>
        <v/>
      </c>
      <c r="W42" s="42">
        <f>Z41</f>
        <v/>
      </c>
      <c r="X42" s="43">
        <f>IF(W42&gt;0,W42*Plan!$D$27/100/12,0)</f>
        <v/>
      </c>
      <c r="Y42" s="42">
        <f>IF(W42&lt;=0,0,MIN(W42+X42,Plan!$E$27+V42))</f>
        <v/>
      </c>
      <c r="Z42" s="44">
        <f>MAX(0,W42+X42-Y42)</f>
        <v/>
      </c>
      <c r="AA42" s="45">
        <f>V42-IF(W42&lt;=0,0,MAX(0,Y42-Plan!$E$27))</f>
        <v/>
      </c>
      <c r="AB42" s="42">
        <f>AE41</f>
        <v/>
      </c>
      <c r="AC42" s="43">
        <f>IF(AB42&gt;0,AB42*Plan!$D$28/100/12,0)</f>
        <v/>
      </c>
      <c r="AD42" s="42">
        <f>IF(AB42&lt;=0,0,MIN(AB42+AC42,Plan!$E$28+AA42))</f>
        <v/>
      </c>
      <c r="AE42" s="44">
        <f>MAX(0,AB42+AC42-AD42)</f>
        <v/>
      </c>
      <c r="AF42" s="45">
        <f>AA42-IF(AB42&lt;=0,0,MAX(0,AD42-Plan!$E$28))</f>
        <v/>
      </c>
      <c r="AG42" s="44">
        <f>F42+K42+P42+U42+Z42+AE42</f>
        <v/>
      </c>
    </row>
    <row r="43">
      <c r="A43" s="46" t="n">
        <v>36</v>
      </c>
      <c r="B43" s="47">
        <f>EDATE(Plan!$C$18,35)</f>
        <v/>
      </c>
      <c r="C43" s="48">
        <f>F42</f>
        <v/>
      </c>
      <c r="D43" s="49">
        <f>IF(C43&gt;0,C43*Plan!$D$23/100/12,0)</f>
        <v/>
      </c>
      <c r="E43" s="48">
        <f>IF(C43&lt;=0,0,MIN(C43+D43,Plan!$E$23+(Plan!$C$17+IF(C43&lt;=0,Plan!$E$23,MAX(0,Plan!$E$23-(C43+D43)))+IF(H43&lt;=0,Plan!$E$24,MAX(0,Plan!$E$24-(H43+I43)))+IF(M43&lt;=0,Plan!$E$25,MAX(0,Plan!$E$25-(M43+N43)))+IF(R43&lt;=0,Plan!$E$26,MAX(0,Plan!$E$26-(R43+S43)))+IF(W43&lt;=0,Plan!$E$27,MAX(0,Plan!$E$27-(W43+X43)))+IF(AB43&lt;=0,Plan!$E$28,MAX(0,Plan!$E$28-(AB43+AC43))))))</f>
        <v/>
      </c>
      <c r="F43" s="50">
        <f>MAX(0,C43+D43-E43)</f>
        <v/>
      </c>
      <c r="G43" s="51">
        <f>(Plan!$C$17+IF(C43&lt;=0,Plan!$E$23,MAX(0,Plan!$E$23-(C43+D43)))+IF(H43&lt;=0,Plan!$E$24,MAX(0,Plan!$E$24-(H43+I43)))+IF(M43&lt;=0,Plan!$E$25,MAX(0,Plan!$E$25-(M43+N43)))+IF(R43&lt;=0,Plan!$E$26,MAX(0,Plan!$E$26-(R43+S43)))+IF(W43&lt;=0,Plan!$E$27,MAX(0,Plan!$E$27-(W43+X43)))+IF(AB43&lt;=0,Plan!$E$28,MAX(0,Plan!$E$28-(AB43+AC43))))-IF(C43&lt;=0,0,MAX(0,E43-Plan!$E$23))</f>
        <v/>
      </c>
      <c r="H43" s="48">
        <f>K42</f>
        <v/>
      </c>
      <c r="I43" s="49">
        <f>IF(H43&gt;0,H43*Plan!$D$24/100/12,0)</f>
        <v/>
      </c>
      <c r="J43" s="48">
        <f>IF(H43&lt;=0,0,MIN(H43+I43,Plan!$E$24+G43))</f>
        <v/>
      </c>
      <c r="K43" s="50">
        <f>MAX(0,H43+I43-J43)</f>
        <v/>
      </c>
      <c r="L43" s="51">
        <f>G43-IF(H43&lt;=0,0,MAX(0,J43-Plan!$E$24))</f>
        <v/>
      </c>
      <c r="M43" s="48">
        <f>P42</f>
        <v/>
      </c>
      <c r="N43" s="49">
        <f>IF(M43&gt;0,M43*Plan!$D$25/100/12,0)</f>
        <v/>
      </c>
      <c r="O43" s="48">
        <f>IF(M43&lt;=0,0,MIN(M43+N43,Plan!$E$25+L43))</f>
        <v/>
      </c>
      <c r="P43" s="50">
        <f>MAX(0,M43+N43-O43)</f>
        <v/>
      </c>
      <c r="Q43" s="51">
        <f>L43-IF(M43&lt;=0,0,MAX(0,O43-Plan!$E$25))</f>
        <v/>
      </c>
      <c r="R43" s="48">
        <f>U42</f>
        <v/>
      </c>
      <c r="S43" s="49">
        <f>IF(R43&gt;0,R43*Plan!$D$26/100/12,0)</f>
        <v/>
      </c>
      <c r="T43" s="48">
        <f>IF(R43&lt;=0,0,MIN(R43+S43,Plan!$E$26+Q43))</f>
        <v/>
      </c>
      <c r="U43" s="50">
        <f>MAX(0,R43+S43-T43)</f>
        <v/>
      </c>
      <c r="V43" s="51">
        <f>Q43-IF(R43&lt;=0,0,MAX(0,T43-Plan!$E$26))</f>
        <v/>
      </c>
      <c r="W43" s="48">
        <f>Z42</f>
        <v/>
      </c>
      <c r="X43" s="49">
        <f>IF(W43&gt;0,W43*Plan!$D$27/100/12,0)</f>
        <v/>
      </c>
      <c r="Y43" s="48">
        <f>IF(W43&lt;=0,0,MIN(W43+X43,Plan!$E$27+V43))</f>
        <v/>
      </c>
      <c r="Z43" s="50">
        <f>MAX(0,W43+X43-Y43)</f>
        <v/>
      </c>
      <c r="AA43" s="51">
        <f>V43-IF(W43&lt;=0,0,MAX(0,Y43-Plan!$E$27))</f>
        <v/>
      </c>
      <c r="AB43" s="48">
        <f>AE42</f>
        <v/>
      </c>
      <c r="AC43" s="49">
        <f>IF(AB43&gt;0,AB43*Plan!$D$28/100/12,0)</f>
        <v/>
      </c>
      <c r="AD43" s="48">
        <f>IF(AB43&lt;=0,0,MIN(AB43+AC43,Plan!$E$28+AA43))</f>
        <v/>
      </c>
      <c r="AE43" s="50">
        <f>MAX(0,AB43+AC43-AD43)</f>
        <v/>
      </c>
      <c r="AF43" s="51">
        <f>AA43-IF(AB43&lt;=0,0,MAX(0,AD43-Plan!$E$28))</f>
        <v/>
      </c>
      <c r="AG43" s="50">
        <f>F43+K43+P43+U43+Z43+AE43</f>
        <v/>
      </c>
    </row>
    <row r="44">
      <c r="A44" s="40" t="n">
        <v>37</v>
      </c>
      <c r="B44" s="41">
        <f>EDATE(Plan!$C$18,36)</f>
        <v/>
      </c>
      <c r="C44" s="42">
        <f>F43</f>
        <v/>
      </c>
      <c r="D44" s="43">
        <f>IF(C44&gt;0,C44*Plan!$D$23/100/12,0)</f>
        <v/>
      </c>
      <c r="E44" s="42">
        <f>IF(C44&lt;=0,0,MIN(C44+D44,Plan!$E$23+(Plan!$C$17+IF(C44&lt;=0,Plan!$E$23,MAX(0,Plan!$E$23-(C44+D44)))+IF(H44&lt;=0,Plan!$E$24,MAX(0,Plan!$E$24-(H44+I44)))+IF(M44&lt;=0,Plan!$E$25,MAX(0,Plan!$E$25-(M44+N44)))+IF(R44&lt;=0,Plan!$E$26,MAX(0,Plan!$E$26-(R44+S44)))+IF(W44&lt;=0,Plan!$E$27,MAX(0,Plan!$E$27-(W44+X44)))+IF(AB44&lt;=0,Plan!$E$28,MAX(0,Plan!$E$28-(AB44+AC44))))))</f>
        <v/>
      </c>
      <c r="F44" s="44">
        <f>MAX(0,C44+D44-E44)</f>
        <v/>
      </c>
      <c r="G44" s="45">
        <f>(Plan!$C$17+IF(C44&lt;=0,Plan!$E$23,MAX(0,Plan!$E$23-(C44+D44)))+IF(H44&lt;=0,Plan!$E$24,MAX(0,Plan!$E$24-(H44+I44)))+IF(M44&lt;=0,Plan!$E$25,MAX(0,Plan!$E$25-(M44+N44)))+IF(R44&lt;=0,Plan!$E$26,MAX(0,Plan!$E$26-(R44+S44)))+IF(W44&lt;=0,Plan!$E$27,MAX(0,Plan!$E$27-(W44+X44)))+IF(AB44&lt;=0,Plan!$E$28,MAX(0,Plan!$E$28-(AB44+AC44))))-IF(C44&lt;=0,0,MAX(0,E44-Plan!$E$23))</f>
        <v/>
      </c>
      <c r="H44" s="42">
        <f>K43</f>
        <v/>
      </c>
      <c r="I44" s="43">
        <f>IF(H44&gt;0,H44*Plan!$D$24/100/12,0)</f>
        <v/>
      </c>
      <c r="J44" s="42">
        <f>IF(H44&lt;=0,0,MIN(H44+I44,Plan!$E$24+G44))</f>
        <v/>
      </c>
      <c r="K44" s="44">
        <f>MAX(0,H44+I44-J44)</f>
        <v/>
      </c>
      <c r="L44" s="45">
        <f>G44-IF(H44&lt;=0,0,MAX(0,J44-Plan!$E$24))</f>
        <v/>
      </c>
      <c r="M44" s="42">
        <f>P43</f>
        <v/>
      </c>
      <c r="N44" s="43">
        <f>IF(M44&gt;0,M44*Plan!$D$25/100/12,0)</f>
        <v/>
      </c>
      <c r="O44" s="42">
        <f>IF(M44&lt;=0,0,MIN(M44+N44,Plan!$E$25+L44))</f>
        <v/>
      </c>
      <c r="P44" s="44">
        <f>MAX(0,M44+N44-O44)</f>
        <v/>
      </c>
      <c r="Q44" s="45">
        <f>L44-IF(M44&lt;=0,0,MAX(0,O44-Plan!$E$25))</f>
        <v/>
      </c>
      <c r="R44" s="42">
        <f>U43</f>
        <v/>
      </c>
      <c r="S44" s="43">
        <f>IF(R44&gt;0,R44*Plan!$D$26/100/12,0)</f>
        <v/>
      </c>
      <c r="T44" s="42">
        <f>IF(R44&lt;=0,0,MIN(R44+S44,Plan!$E$26+Q44))</f>
        <v/>
      </c>
      <c r="U44" s="44">
        <f>MAX(0,R44+S44-T44)</f>
        <v/>
      </c>
      <c r="V44" s="45">
        <f>Q44-IF(R44&lt;=0,0,MAX(0,T44-Plan!$E$26))</f>
        <v/>
      </c>
      <c r="W44" s="42">
        <f>Z43</f>
        <v/>
      </c>
      <c r="X44" s="43">
        <f>IF(W44&gt;0,W44*Plan!$D$27/100/12,0)</f>
        <v/>
      </c>
      <c r="Y44" s="42">
        <f>IF(W44&lt;=0,0,MIN(W44+X44,Plan!$E$27+V44))</f>
        <v/>
      </c>
      <c r="Z44" s="44">
        <f>MAX(0,W44+X44-Y44)</f>
        <v/>
      </c>
      <c r="AA44" s="45">
        <f>V44-IF(W44&lt;=0,0,MAX(0,Y44-Plan!$E$27))</f>
        <v/>
      </c>
      <c r="AB44" s="42">
        <f>AE43</f>
        <v/>
      </c>
      <c r="AC44" s="43">
        <f>IF(AB44&gt;0,AB44*Plan!$D$28/100/12,0)</f>
        <v/>
      </c>
      <c r="AD44" s="42">
        <f>IF(AB44&lt;=0,0,MIN(AB44+AC44,Plan!$E$28+AA44))</f>
        <v/>
      </c>
      <c r="AE44" s="44">
        <f>MAX(0,AB44+AC44-AD44)</f>
        <v/>
      </c>
      <c r="AF44" s="45">
        <f>AA44-IF(AB44&lt;=0,0,MAX(0,AD44-Plan!$E$28))</f>
        <v/>
      </c>
      <c r="AG44" s="44">
        <f>F44+K44+P44+U44+Z44+AE44</f>
        <v/>
      </c>
    </row>
    <row r="45">
      <c r="A45" s="46" t="n">
        <v>38</v>
      </c>
      <c r="B45" s="47">
        <f>EDATE(Plan!$C$18,37)</f>
        <v/>
      </c>
      <c r="C45" s="48">
        <f>F44</f>
        <v/>
      </c>
      <c r="D45" s="49">
        <f>IF(C45&gt;0,C45*Plan!$D$23/100/12,0)</f>
        <v/>
      </c>
      <c r="E45" s="48">
        <f>IF(C45&lt;=0,0,MIN(C45+D45,Plan!$E$23+(Plan!$C$17+IF(C45&lt;=0,Plan!$E$23,MAX(0,Plan!$E$23-(C45+D45)))+IF(H45&lt;=0,Plan!$E$24,MAX(0,Plan!$E$24-(H45+I45)))+IF(M45&lt;=0,Plan!$E$25,MAX(0,Plan!$E$25-(M45+N45)))+IF(R45&lt;=0,Plan!$E$26,MAX(0,Plan!$E$26-(R45+S45)))+IF(W45&lt;=0,Plan!$E$27,MAX(0,Plan!$E$27-(W45+X45)))+IF(AB45&lt;=0,Plan!$E$28,MAX(0,Plan!$E$28-(AB45+AC45))))))</f>
        <v/>
      </c>
      <c r="F45" s="50">
        <f>MAX(0,C45+D45-E45)</f>
        <v/>
      </c>
      <c r="G45" s="51">
        <f>(Plan!$C$17+IF(C45&lt;=0,Plan!$E$23,MAX(0,Plan!$E$23-(C45+D45)))+IF(H45&lt;=0,Plan!$E$24,MAX(0,Plan!$E$24-(H45+I45)))+IF(M45&lt;=0,Plan!$E$25,MAX(0,Plan!$E$25-(M45+N45)))+IF(R45&lt;=0,Plan!$E$26,MAX(0,Plan!$E$26-(R45+S45)))+IF(W45&lt;=0,Plan!$E$27,MAX(0,Plan!$E$27-(W45+X45)))+IF(AB45&lt;=0,Plan!$E$28,MAX(0,Plan!$E$28-(AB45+AC45))))-IF(C45&lt;=0,0,MAX(0,E45-Plan!$E$23))</f>
        <v/>
      </c>
      <c r="H45" s="48">
        <f>K44</f>
        <v/>
      </c>
      <c r="I45" s="49">
        <f>IF(H45&gt;0,H45*Plan!$D$24/100/12,0)</f>
        <v/>
      </c>
      <c r="J45" s="48">
        <f>IF(H45&lt;=0,0,MIN(H45+I45,Plan!$E$24+G45))</f>
        <v/>
      </c>
      <c r="K45" s="50">
        <f>MAX(0,H45+I45-J45)</f>
        <v/>
      </c>
      <c r="L45" s="51">
        <f>G45-IF(H45&lt;=0,0,MAX(0,J45-Plan!$E$24))</f>
        <v/>
      </c>
      <c r="M45" s="48">
        <f>P44</f>
        <v/>
      </c>
      <c r="N45" s="49">
        <f>IF(M45&gt;0,M45*Plan!$D$25/100/12,0)</f>
        <v/>
      </c>
      <c r="O45" s="48">
        <f>IF(M45&lt;=0,0,MIN(M45+N45,Plan!$E$25+L45))</f>
        <v/>
      </c>
      <c r="P45" s="50">
        <f>MAX(0,M45+N45-O45)</f>
        <v/>
      </c>
      <c r="Q45" s="51">
        <f>L45-IF(M45&lt;=0,0,MAX(0,O45-Plan!$E$25))</f>
        <v/>
      </c>
      <c r="R45" s="48">
        <f>U44</f>
        <v/>
      </c>
      <c r="S45" s="49">
        <f>IF(R45&gt;0,R45*Plan!$D$26/100/12,0)</f>
        <v/>
      </c>
      <c r="T45" s="48">
        <f>IF(R45&lt;=0,0,MIN(R45+S45,Plan!$E$26+Q45))</f>
        <v/>
      </c>
      <c r="U45" s="50">
        <f>MAX(0,R45+S45-T45)</f>
        <v/>
      </c>
      <c r="V45" s="51">
        <f>Q45-IF(R45&lt;=0,0,MAX(0,T45-Plan!$E$26))</f>
        <v/>
      </c>
      <c r="W45" s="48">
        <f>Z44</f>
        <v/>
      </c>
      <c r="X45" s="49">
        <f>IF(W45&gt;0,W45*Plan!$D$27/100/12,0)</f>
        <v/>
      </c>
      <c r="Y45" s="48">
        <f>IF(W45&lt;=0,0,MIN(W45+X45,Plan!$E$27+V45))</f>
        <v/>
      </c>
      <c r="Z45" s="50">
        <f>MAX(0,W45+X45-Y45)</f>
        <v/>
      </c>
      <c r="AA45" s="51">
        <f>V45-IF(W45&lt;=0,0,MAX(0,Y45-Plan!$E$27))</f>
        <v/>
      </c>
      <c r="AB45" s="48">
        <f>AE44</f>
        <v/>
      </c>
      <c r="AC45" s="49">
        <f>IF(AB45&gt;0,AB45*Plan!$D$28/100/12,0)</f>
        <v/>
      </c>
      <c r="AD45" s="48">
        <f>IF(AB45&lt;=0,0,MIN(AB45+AC45,Plan!$E$28+AA45))</f>
        <v/>
      </c>
      <c r="AE45" s="50">
        <f>MAX(0,AB45+AC45-AD45)</f>
        <v/>
      </c>
      <c r="AF45" s="51">
        <f>AA45-IF(AB45&lt;=0,0,MAX(0,AD45-Plan!$E$28))</f>
        <v/>
      </c>
      <c r="AG45" s="50">
        <f>F45+K45+P45+U45+Z45+AE45</f>
        <v/>
      </c>
    </row>
    <row r="46">
      <c r="A46" s="40" t="n">
        <v>39</v>
      </c>
      <c r="B46" s="41">
        <f>EDATE(Plan!$C$18,38)</f>
        <v/>
      </c>
      <c r="C46" s="42">
        <f>F45</f>
        <v/>
      </c>
      <c r="D46" s="43">
        <f>IF(C46&gt;0,C46*Plan!$D$23/100/12,0)</f>
        <v/>
      </c>
      <c r="E46" s="42">
        <f>IF(C46&lt;=0,0,MIN(C46+D46,Plan!$E$23+(Plan!$C$17+IF(C46&lt;=0,Plan!$E$23,MAX(0,Plan!$E$23-(C46+D46)))+IF(H46&lt;=0,Plan!$E$24,MAX(0,Plan!$E$24-(H46+I46)))+IF(M46&lt;=0,Plan!$E$25,MAX(0,Plan!$E$25-(M46+N46)))+IF(R46&lt;=0,Plan!$E$26,MAX(0,Plan!$E$26-(R46+S46)))+IF(W46&lt;=0,Plan!$E$27,MAX(0,Plan!$E$27-(W46+X46)))+IF(AB46&lt;=0,Plan!$E$28,MAX(0,Plan!$E$28-(AB46+AC46))))))</f>
        <v/>
      </c>
      <c r="F46" s="44">
        <f>MAX(0,C46+D46-E46)</f>
        <v/>
      </c>
      <c r="G46" s="45">
        <f>(Plan!$C$17+IF(C46&lt;=0,Plan!$E$23,MAX(0,Plan!$E$23-(C46+D46)))+IF(H46&lt;=0,Plan!$E$24,MAX(0,Plan!$E$24-(H46+I46)))+IF(M46&lt;=0,Plan!$E$25,MAX(0,Plan!$E$25-(M46+N46)))+IF(R46&lt;=0,Plan!$E$26,MAX(0,Plan!$E$26-(R46+S46)))+IF(W46&lt;=0,Plan!$E$27,MAX(0,Plan!$E$27-(W46+X46)))+IF(AB46&lt;=0,Plan!$E$28,MAX(0,Plan!$E$28-(AB46+AC46))))-IF(C46&lt;=0,0,MAX(0,E46-Plan!$E$23))</f>
        <v/>
      </c>
      <c r="H46" s="42">
        <f>K45</f>
        <v/>
      </c>
      <c r="I46" s="43">
        <f>IF(H46&gt;0,H46*Plan!$D$24/100/12,0)</f>
        <v/>
      </c>
      <c r="J46" s="42">
        <f>IF(H46&lt;=0,0,MIN(H46+I46,Plan!$E$24+G46))</f>
        <v/>
      </c>
      <c r="K46" s="44">
        <f>MAX(0,H46+I46-J46)</f>
        <v/>
      </c>
      <c r="L46" s="45">
        <f>G46-IF(H46&lt;=0,0,MAX(0,J46-Plan!$E$24))</f>
        <v/>
      </c>
      <c r="M46" s="42">
        <f>P45</f>
        <v/>
      </c>
      <c r="N46" s="43">
        <f>IF(M46&gt;0,M46*Plan!$D$25/100/12,0)</f>
        <v/>
      </c>
      <c r="O46" s="42">
        <f>IF(M46&lt;=0,0,MIN(M46+N46,Plan!$E$25+L46))</f>
        <v/>
      </c>
      <c r="P46" s="44">
        <f>MAX(0,M46+N46-O46)</f>
        <v/>
      </c>
      <c r="Q46" s="45">
        <f>L46-IF(M46&lt;=0,0,MAX(0,O46-Plan!$E$25))</f>
        <v/>
      </c>
      <c r="R46" s="42">
        <f>U45</f>
        <v/>
      </c>
      <c r="S46" s="43">
        <f>IF(R46&gt;0,R46*Plan!$D$26/100/12,0)</f>
        <v/>
      </c>
      <c r="T46" s="42">
        <f>IF(R46&lt;=0,0,MIN(R46+S46,Plan!$E$26+Q46))</f>
        <v/>
      </c>
      <c r="U46" s="44">
        <f>MAX(0,R46+S46-T46)</f>
        <v/>
      </c>
      <c r="V46" s="45">
        <f>Q46-IF(R46&lt;=0,0,MAX(0,T46-Plan!$E$26))</f>
        <v/>
      </c>
      <c r="W46" s="42">
        <f>Z45</f>
        <v/>
      </c>
      <c r="X46" s="43">
        <f>IF(W46&gt;0,W46*Plan!$D$27/100/12,0)</f>
        <v/>
      </c>
      <c r="Y46" s="42">
        <f>IF(W46&lt;=0,0,MIN(W46+X46,Plan!$E$27+V46))</f>
        <v/>
      </c>
      <c r="Z46" s="44">
        <f>MAX(0,W46+X46-Y46)</f>
        <v/>
      </c>
      <c r="AA46" s="45">
        <f>V46-IF(W46&lt;=0,0,MAX(0,Y46-Plan!$E$27))</f>
        <v/>
      </c>
      <c r="AB46" s="42">
        <f>AE45</f>
        <v/>
      </c>
      <c r="AC46" s="43">
        <f>IF(AB46&gt;0,AB46*Plan!$D$28/100/12,0)</f>
        <v/>
      </c>
      <c r="AD46" s="42">
        <f>IF(AB46&lt;=0,0,MIN(AB46+AC46,Plan!$E$28+AA46))</f>
        <v/>
      </c>
      <c r="AE46" s="44">
        <f>MAX(0,AB46+AC46-AD46)</f>
        <v/>
      </c>
      <c r="AF46" s="45">
        <f>AA46-IF(AB46&lt;=0,0,MAX(0,AD46-Plan!$E$28))</f>
        <v/>
      </c>
      <c r="AG46" s="44">
        <f>F46+K46+P46+U46+Z46+AE46</f>
        <v/>
      </c>
    </row>
    <row r="47">
      <c r="A47" s="46" t="n">
        <v>40</v>
      </c>
      <c r="B47" s="47">
        <f>EDATE(Plan!$C$18,39)</f>
        <v/>
      </c>
      <c r="C47" s="48">
        <f>F46</f>
        <v/>
      </c>
      <c r="D47" s="49">
        <f>IF(C47&gt;0,C47*Plan!$D$23/100/12,0)</f>
        <v/>
      </c>
      <c r="E47" s="48">
        <f>IF(C47&lt;=0,0,MIN(C47+D47,Plan!$E$23+(Plan!$C$17+IF(C47&lt;=0,Plan!$E$23,MAX(0,Plan!$E$23-(C47+D47)))+IF(H47&lt;=0,Plan!$E$24,MAX(0,Plan!$E$24-(H47+I47)))+IF(M47&lt;=0,Plan!$E$25,MAX(0,Plan!$E$25-(M47+N47)))+IF(R47&lt;=0,Plan!$E$26,MAX(0,Plan!$E$26-(R47+S47)))+IF(W47&lt;=0,Plan!$E$27,MAX(0,Plan!$E$27-(W47+X47)))+IF(AB47&lt;=0,Plan!$E$28,MAX(0,Plan!$E$28-(AB47+AC47))))))</f>
        <v/>
      </c>
      <c r="F47" s="50">
        <f>MAX(0,C47+D47-E47)</f>
        <v/>
      </c>
      <c r="G47" s="51">
        <f>(Plan!$C$17+IF(C47&lt;=0,Plan!$E$23,MAX(0,Plan!$E$23-(C47+D47)))+IF(H47&lt;=0,Plan!$E$24,MAX(0,Plan!$E$24-(H47+I47)))+IF(M47&lt;=0,Plan!$E$25,MAX(0,Plan!$E$25-(M47+N47)))+IF(R47&lt;=0,Plan!$E$26,MAX(0,Plan!$E$26-(R47+S47)))+IF(W47&lt;=0,Plan!$E$27,MAX(0,Plan!$E$27-(W47+X47)))+IF(AB47&lt;=0,Plan!$E$28,MAX(0,Plan!$E$28-(AB47+AC47))))-IF(C47&lt;=0,0,MAX(0,E47-Plan!$E$23))</f>
        <v/>
      </c>
      <c r="H47" s="48">
        <f>K46</f>
        <v/>
      </c>
      <c r="I47" s="49">
        <f>IF(H47&gt;0,H47*Plan!$D$24/100/12,0)</f>
        <v/>
      </c>
      <c r="J47" s="48">
        <f>IF(H47&lt;=0,0,MIN(H47+I47,Plan!$E$24+G47))</f>
        <v/>
      </c>
      <c r="K47" s="50">
        <f>MAX(0,H47+I47-J47)</f>
        <v/>
      </c>
      <c r="L47" s="51">
        <f>G47-IF(H47&lt;=0,0,MAX(0,J47-Plan!$E$24))</f>
        <v/>
      </c>
      <c r="M47" s="48">
        <f>P46</f>
        <v/>
      </c>
      <c r="N47" s="49">
        <f>IF(M47&gt;0,M47*Plan!$D$25/100/12,0)</f>
        <v/>
      </c>
      <c r="O47" s="48">
        <f>IF(M47&lt;=0,0,MIN(M47+N47,Plan!$E$25+L47))</f>
        <v/>
      </c>
      <c r="P47" s="50">
        <f>MAX(0,M47+N47-O47)</f>
        <v/>
      </c>
      <c r="Q47" s="51">
        <f>L47-IF(M47&lt;=0,0,MAX(0,O47-Plan!$E$25))</f>
        <v/>
      </c>
      <c r="R47" s="48">
        <f>U46</f>
        <v/>
      </c>
      <c r="S47" s="49">
        <f>IF(R47&gt;0,R47*Plan!$D$26/100/12,0)</f>
        <v/>
      </c>
      <c r="T47" s="48">
        <f>IF(R47&lt;=0,0,MIN(R47+S47,Plan!$E$26+Q47))</f>
        <v/>
      </c>
      <c r="U47" s="50">
        <f>MAX(0,R47+S47-T47)</f>
        <v/>
      </c>
      <c r="V47" s="51">
        <f>Q47-IF(R47&lt;=0,0,MAX(0,T47-Plan!$E$26))</f>
        <v/>
      </c>
      <c r="W47" s="48">
        <f>Z46</f>
        <v/>
      </c>
      <c r="X47" s="49">
        <f>IF(W47&gt;0,W47*Plan!$D$27/100/12,0)</f>
        <v/>
      </c>
      <c r="Y47" s="48">
        <f>IF(W47&lt;=0,0,MIN(W47+X47,Plan!$E$27+V47))</f>
        <v/>
      </c>
      <c r="Z47" s="50">
        <f>MAX(0,W47+X47-Y47)</f>
        <v/>
      </c>
      <c r="AA47" s="51">
        <f>V47-IF(W47&lt;=0,0,MAX(0,Y47-Plan!$E$27))</f>
        <v/>
      </c>
      <c r="AB47" s="48">
        <f>AE46</f>
        <v/>
      </c>
      <c r="AC47" s="49">
        <f>IF(AB47&gt;0,AB47*Plan!$D$28/100/12,0)</f>
        <v/>
      </c>
      <c r="AD47" s="48">
        <f>IF(AB47&lt;=0,0,MIN(AB47+AC47,Plan!$E$28+AA47))</f>
        <v/>
      </c>
      <c r="AE47" s="50">
        <f>MAX(0,AB47+AC47-AD47)</f>
        <v/>
      </c>
      <c r="AF47" s="51">
        <f>AA47-IF(AB47&lt;=0,0,MAX(0,AD47-Plan!$E$28))</f>
        <v/>
      </c>
      <c r="AG47" s="50">
        <f>F47+K47+P47+U47+Z47+AE47</f>
        <v/>
      </c>
    </row>
    <row r="48">
      <c r="A48" s="40" t="n">
        <v>41</v>
      </c>
      <c r="B48" s="41">
        <f>EDATE(Plan!$C$18,40)</f>
        <v/>
      </c>
      <c r="C48" s="42">
        <f>F47</f>
        <v/>
      </c>
      <c r="D48" s="43">
        <f>IF(C48&gt;0,C48*Plan!$D$23/100/12,0)</f>
        <v/>
      </c>
      <c r="E48" s="42">
        <f>IF(C48&lt;=0,0,MIN(C48+D48,Plan!$E$23+(Plan!$C$17+IF(C48&lt;=0,Plan!$E$23,MAX(0,Plan!$E$23-(C48+D48)))+IF(H48&lt;=0,Plan!$E$24,MAX(0,Plan!$E$24-(H48+I48)))+IF(M48&lt;=0,Plan!$E$25,MAX(0,Plan!$E$25-(M48+N48)))+IF(R48&lt;=0,Plan!$E$26,MAX(0,Plan!$E$26-(R48+S48)))+IF(W48&lt;=0,Plan!$E$27,MAX(0,Plan!$E$27-(W48+X48)))+IF(AB48&lt;=0,Plan!$E$28,MAX(0,Plan!$E$28-(AB48+AC48))))))</f>
        <v/>
      </c>
      <c r="F48" s="44">
        <f>MAX(0,C48+D48-E48)</f>
        <v/>
      </c>
      <c r="G48" s="45">
        <f>(Plan!$C$17+IF(C48&lt;=0,Plan!$E$23,MAX(0,Plan!$E$23-(C48+D48)))+IF(H48&lt;=0,Plan!$E$24,MAX(0,Plan!$E$24-(H48+I48)))+IF(M48&lt;=0,Plan!$E$25,MAX(0,Plan!$E$25-(M48+N48)))+IF(R48&lt;=0,Plan!$E$26,MAX(0,Plan!$E$26-(R48+S48)))+IF(W48&lt;=0,Plan!$E$27,MAX(0,Plan!$E$27-(W48+X48)))+IF(AB48&lt;=0,Plan!$E$28,MAX(0,Plan!$E$28-(AB48+AC48))))-IF(C48&lt;=0,0,MAX(0,E48-Plan!$E$23))</f>
        <v/>
      </c>
      <c r="H48" s="42">
        <f>K47</f>
        <v/>
      </c>
      <c r="I48" s="43">
        <f>IF(H48&gt;0,H48*Plan!$D$24/100/12,0)</f>
        <v/>
      </c>
      <c r="J48" s="42">
        <f>IF(H48&lt;=0,0,MIN(H48+I48,Plan!$E$24+G48))</f>
        <v/>
      </c>
      <c r="K48" s="44">
        <f>MAX(0,H48+I48-J48)</f>
        <v/>
      </c>
      <c r="L48" s="45">
        <f>G48-IF(H48&lt;=0,0,MAX(0,J48-Plan!$E$24))</f>
        <v/>
      </c>
      <c r="M48" s="42">
        <f>P47</f>
        <v/>
      </c>
      <c r="N48" s="43">
        <f>IF(M48&gt;0,M48*Plan!$D$25/100/12,0)</f>
        <v/>
      </c>
      <c r="O48" s="42">
        <f>IF(M48&lt;=0,0,MIN(M48+N48,Plan!$E$25+L48))</f>
        <v/>
      </c>
      <c r="P48" s="44">
        <f>MAX(0,M48+N48-O48)</f>
        <v/>
      </c>
      <c r="Q48" s="45">
        <f>L48-IF(M48&lt;=0,0,MAX(0,O48-Plan!$E$25))</f>
        <v/>
      </c>
      <c r="R48" s="42">
        <f>U47</f>
        <v/>
      </c>
      <c r="S48" s="43">
        <f>IF(R48&gt;0,R48*Plan!$D$26/100/12,0)</f>
        <v/>
      </c>
      <c r="T48" s="42">
        <f>IF(R48&lt;=0,0,MIN(R48+S48,Plan!$E$26+Q48))</f>
        <v/>
      </c>
      <c r="U48" s="44">
        <f>MAX(0,R48+S48-T48)</f>
        <v/>
      </c>
      <c r="V48" s="45">
        <f>Q48-IF(R48&lt;=0,0,MAX(0,T48-Plan!$E$26))</f>
        <v/>
      </c>
      <c r="W48" s="42">
        <f>Z47</f>
        <v/>
      </c>
      <c r="X48" s="43">
        <f>IF(W48&gt;0,W48*Plan!$D$27/100/12,0)</f>
        <v/>
      </c>
      <c r="Y48" s="42">
        <f>IF(W48&lt;=0,0,MIN(W48+X48,Plan!$E$27+V48))</f>
        <v/>
      </c>
      <c r="Z48" s="44">
        <f>MAX(0,W48+X48-Y48)</f>
        <v/>
      </c>
      <c r="AA48" s="45">
        <f>V48-IF(W48&lt;=0,0,MAX(0,Y48-Plan!$E$27))</f>
        <v/>
      </c>
      <c r="AB48" s="42">
        <f>AE47</f>
        <v/>
      </c>
      <c r="AC48" s="43">
        <f>IF(AB48&gt;0,AB48*Plan!$D$28/100/12,0)</f>
        <v/>
      </c>
      <c r="AD48" s="42">
        <f>IF(AB48&lt;=0,0,MIN(AB48+AC48,Plan!$E$28+AA48))</f>
        <v/>
      </c>
      <c r="AE48" s="44">
        <f>MAX(0,AB48+AC48-AD48)</f>
        <v/>
      </c>
      <c r="AF48" s="45">
        <f>AA48-IF(AB48&lt;=0,0,MAX(0,AD48-Plan!$E$28))</f>
        <v/>
      </c>
      <c r="AG48" s="44">
        <f>F48+K48+P48+U48+Z48+AE48</f>
        <v/>
      </c>
    </row>
    <row r="49">
      <c r="A49" s="46" t="n">
        <v>42</v>
      </c>
      <c r="B49" s="47">
        <f>EDATE(Plan!$C$18,41)</f>
        <v/>
      </c>
      <c r="C49" s="48">
        <f>F48</f>
        <v/>
      </c>
      <c r="D49" s="49">
        <f>IF(C49&gt;0,C49*Plan!$D$23/100/12,0)</f>
        <v/>
      </c>
      <c r="E49" s="48">
        <f>IF(C49&lt;=0,0,MIN(C49+D49,Plan!$E$23+(Plan!$C$17+IF(C49&lt;=0,Plan!$E$23,MAX(0,Plan!$E$23-(C49+D49)))+IF(H49&lt;=0,Plan!$E$24,MAX(0,Plan!$E$24-(H49+I49)))+IF(M49&lt;=0,Plan!$E$25,MAX(0,Plan!$E$25-(M49+N49)))+IF(R49&lt;=0,Plan!$E$26,MAX(0,Plan!$E$26-(R49+S49)))+IF(W49&lt;=0,Plan!$E$27,MAX(0,Plan!$E$27-(W49+X49)))+IF(AB49&lt;=0,Plan!$E$28,MAX(0,Plan!$E$28-(AB49+AC49))))))</f>
        <v/>
      </c>
      <c r="F49" s="50">
        <f>MAX(0,C49+D49-E49)</f>
        <v/>
      </c>
      <c r="G49" s="51">
        <f>(Plan!$C$17+IF(C49&lt;=0,Plan!$E$23,MAX(0,Plan!$E$23-(C49+D49)))+IF(H49&lt;=0,Plan!$E$24,MAX(0,Plan!$E$24-(H49+I49)))+IF(M49&lt;=0,Plan!$E$25,MAX(0,Plan!$E$25-(M49+N49)))+IF(R49&lt;=0,Plan!$E$26,MAX(0,Plan!$E$26-(R49+S49)))+IF(W49&lt;=0,Plan!$E$27,MAX(0,Plan!$E$27-(W49+X49)))+IF(AB49&lt;=0,Plan!$E$28,MAX(0,Plan!$E$28-(AB49+AC49))))-IF(C49&lt;=0,0,MAX(0,E49-Plan!$E$23))</f>
        <v/>
      </c>
      <c r="H49" s="48">
        <f>K48</f>
        <v/>
      </c>
      <c r="I49" s="49">
        <f>IF(H49&gt;0,H49*Plan!$D$24/100/12,0)</f>
        <v/>
      </c>
      <c r="J49" s="48">
        <f>IF(H49&lt;=0,0,MIN(H49+I49,Plan!$E$24+G49))</f>
        <v/>
      </c>
      <c r="K49" s="50">
        <f>MAX(0,H49+I49-J49)</f>
        <v/>
      </c>
      <c r="L49" s="51">
        <f>G49-IF(H49&lt;=0,0,MAX(0,J49-Plan!$E$24))</f>
        <v/>
      </c>
      <c r="M49" s="48">
        <f>P48</f>
        <v/>
      </c>
      <c r="N49" s="49">
        <f>IF(M49&gt;0,M49*Plan!$D$25/100/12,0)</f>
        <v/>
      </c>
      <c r="O49" s="48">
        <f>IF(M49&lt;=0,0,MIN(M49+N49,Plan!$E$25+L49))</f>
        <v/>
      </c>
      <c r="P49" s="50">
        <f>MAX(0,M49+N49-O49)</f>
        <v/>
      </c>
      <c r="Q49" s="51">
        <f>L49-IF(M49&lt;=0,0,MAX(0,O49-Plan!$E$25))</f>
        <v/>
      </c>
      <c r="R49" s="48">
        <f>U48</f>
        <v/>
      </c>
      <c r="S49" s="49">
        <f>IF(R49&gt;0,R49*Plan!$D$26/100/12,0)</f>
        <v/>
      </c>
      <c r="T49" s="48">
        <f>IF(R49&lt;=0,0,MIN(R49+S49,Plan!$E$26+Q49))</f>
        <v/>
      </c>
      <c r="U49" s="50">
        <f>MAX(0,R49+S49-T49)</f>
        <v/>
      </c>
      <c r="V49" s="51">
        <f>Q49-IF(R49&lt;=0,0,MAX(0,T49-Plan!$E$26))</f>
        <v/>
      </c>
      <c r="W49" s="48">
        <f>Z48</f>
        <v/>
      </c>
      <c r="X49" s="49">
        <f>IF(W49&gt;0,W49*Plan!$D$27/100/12,0)</f>
        <v/>
      </c>
      <c r="Y49" s="48">
        <f>IF(W49&lt;=0,0,MIN(W49+X49,Plan!$E$27+V49))</f>
        <v/>
      </c>
      <c r="Z49" s="50">
        <f>MAX(0,W49+X49-Y49)</f>
        <v/>
      </c>
      <c r="AA49" s="51">
        <f>V49-IF(W49&lt;=0,0,MAX(0,Y49-Plan!$E$27))</f>
        <v/>
      </c>
      <c r="AB49" s="48">
        <f>AE48</f>
        <v/>
      </c>
      <c r="AC49" s="49">
        <f>IF(AB49&gt;0,AB49*Plan!$D$28/100/12,0)</f>
        <v/>
      </c>
      <c r="AD49" s="48">
        <f>IF(AB49&lt;=0,0,MIN(AB49+AC49,Plan!$E$28+AA49))</f>
        <v/>
      </c>
      <c r="AE49" s="50">
        <f>MAX(0,AB49+AC49-AD49)</f>
        <v/>
      </c>
      <c r="AF49" s="51">
        <f>AA49-IF(AB49&lt;=0,0,MAX(0,AD49-Plan!$E$28))</f>
        <v/>
      </c>
      <c r="AG49" s="50">
        <f>F49+K49+P49+U49+Z49+AE49</f>
        <v/>
      </c>
    </row>
    <row r="50">
      <c r="A50" s="40" t="n">
        <v>43</v>
      </c>
      <c r="B50" s="41">
        <f>EDATE(Plan!$C$18,42)</f>
        <v/>
      </c>
      <c r="C50" s="42">
        <f>F49</f>
        <v/>
      </c>
      <c r="D50" s="43">
        <f>IF(C50&gt;0,C50*Plan!$D$23/100/12,0)</f>
        <v/>
      </c>
      <c r="E50" s="42">
        <f>IF(C50&lt;=0,0,MIN(C50+D50,Plan!$E$23+(Plan!$C$17+IF(C50&lt;=0,Plan!$E$23,MAX(0,Plan!$E$23-(C50+D50)))+IF(H50&lt;=0,Plan!$E$24,MAX(0,Plan!$E$24-(H50+I50)))+IF(M50&lt;=0,Plan!$E$25,MAX(0,Plan!$E$25-(M50+N50)))+IF(R50&lt;=0,Plan!$E$26,MAX(0,Plan!$E$26-(R50+S50)))+IF(W50&lt;=0,Plan!$E$27,MAX(0,Plan!$E$27-(W50+X50)))+IF(AB50&lt;=0,Plan!$E$28,MAX(0,Plan!$E$28-(AB50+AC50))))))</f>
        <v/>
      </c>
      <c r="F50" s="44">
        <f>MAX(0,C50+D50-E50)</f>
        <v/>
      </c>
      <c r="G50" s="45">
        <f>(Plan!$C$17+IF(C50&lt;=0,Plan!$E$23,MAX(0,Plan!$E$23-(C50+D50)))+IF(H50&lt;=0,Plan!$E$24,MAX(0,Plan!$E$24-(H50+I50)))+IF(M50&lt;=0,Plan!$E$25,MAX(0,Plan!$E$25-(M50+N50)))+IF(R50&lt;=0,Plan!$E$26,MAX(0,Plan!$E$26-(R50+S50)))+IF(W50&lt;=0,Plan!$E$27,MAX(0,Plan!$E$27-(W50+X50)))+IF(AB50&lt;=0,Plan!$E$28,MAX(0,Plan!$E$28-(AB50+AC50))))-IF(C50&lt;=0,0,MAX(0,E50-Plan!$E$23))</f>
        <v/>
      </c>
      <c r="H50" s="42">
        <f>K49</f>
        <v/>
      </c>
      <c r="I50" s="43">
        <f>IF(H50&gt;0,H50*Plan!$D$24/100/12,0)</f>
        <v/>
      </c>
      <c r="J50" s="42">
        <f>IF(H50&lt;=0,0,MIN(H50+I50,Plan!$E$24+G50))</f>
        <v/>
      </c>
      <c r="K50" s="44">
        <f>MAX(0,H50+I50-J50)</f>
        <v/>
      </c>
      <c r="L50" s="45">
        <f>G50-IF(H50&lt;=0,0,MAX(0,J50-Plan!$E$24))</f>
        <v/>
      </c>
      <c r="M50" s="42">
        <f>P49</f>
        <v/>
      </c>
      <c r="N50" s="43">
        <f>IF(M50&gt;0,M50*Plan!$D$25/100/12,0)</f>
        <v/>
      </c>
      <c r="O50" s="42">
        <f>IF(M50&lt;=0,0,MIN(M50+N50,Plan!$E$25+L50))</f>
        <v/>
      </c>
      <c r="P50" s="44">
        <f>MAX(0,M50+N50-O50)</f>
        <v/>
      </c>
      <c r="Q50" s="45">
        <f>L50-IF(M50&lt;=0,0,MAX(0,O50-Plan!$E$25))</f>
        <v/>
      </c>
      <c r="R50" s="42">
        <f>U49</f>
        <v/>
      </c>
      <c r="S50" s="43">
        <f>IF(R50&gt;0,R50*Plan!$D$26/100/12,0)</f>
        <v/>
      </c>
      <c r="T50" s="42">
        <f>IF(R50&lt;=0,0,MIN(R50+S50,Plan!$E$26+Q50))</f>
        <v/>
      </c>
      <c r="U50" s="44">
        <f>MAX(0,R50+S50-T50)</f>
        <v/>
      </c>
      <c r="V50" s="45">
        <f>Q50-IF(R50&lt;=0,0,MAX(0,T50-Plan!$E$26))</f>
        <v/>
      </c>
      <c r="W50" s="42">
        <f>Z49</f>
        <v/>
      </c>
      <c r="X50" s="43">
        <f>IF(W50&gt;0,W50*Plan!$D$27/100/12,0)</f>
        <v/>
      </c>
      <c r="Y50" s="42">
        <f>IF(W50&lt;=0,0,MIN(W50+X50,Plan!$E$27+V50))</f>
        <v/>
      </c>
      <c r="Z50" s="44">
        <f>MAX(0,W50+X50-Y50)</f>
        <v/>
      </c>
      <c r="AA50" s="45">
        <f>V50-IF(W50&lt;=0,0,MAX(0,Y50-Plan!$E$27))</f>
        <v/>
      </c>
      <c r="AB50" s="42">
        <f>AE49</f>
        <v/>
      </c>
      <c r="AC50" s="43">
        <f>IF(AB50&gt;0,AB50*Plan!$D$28/100/12,0)</f>
        <v/>
      </c>
      <c r="AD50" s="42">
        <f>IF(AB50&lt;=0,0,MIN(AB50+AC50,Plan!$E$28+AA50))</f>
        <v/>
      </c>
      <c r="AE50" s="44">
        <f>MAX(0,AB50+AC50-AD50)</f>
        <v/>
      </c>
      <c r="AF50" s="45">
        <f>AA50-IF(AB50&lt;=0,0,MAX(0,AD50-Plan!$E$28))</f>
        <v/>
      </c>
      <c r="AG50" s="44">
        <f>F50+K50+P50+U50+Z50+AE50</f>
        <v/>
      </c>
    </row>
    <row r="51">
      <c r="A51" s="46" t="n">
        <v>44</v>
      </c>
      <c r="B51" s="47">
        <f>EDATE(Plan!$C$18,43)</f>
        <v/>
      </c>
      <c r="C51" s="48">
        <f>F50</f>
        <v/>
      </c>
      <c r="D51" s="49">
        <f>IF(C51&gt;0,C51*Plan!$D$23/100/12,0)</f>
        <v/>
      </c>
      <c r="E51" s="48">
        <f>IF(C51&lt;=0,0,MIN(C51+D51,Plan!$E$23+(Plan!$C$17+IF(C51&lt;=0,Plan!$E$23,MAX(0,Plan!$E$23-(C51+D51)))+IF(H51&lt;=0,Plan!$E$24,MAX(0,Plan!$E$24-(H51+I51)))+IF(M51&lt;=0,Plan!$E$25,MAX(0,Plan!$E$25-(M51+N51)))+IF(R51&lt;=0,Plan!$E$26,MAX(0,Plan!$E$26-(R51+S51)))+IF(W51&lt;=0,Plan!$E$27,MAX(0,Plan!$E$27-(W51+X51)))+IF(AB51&lt;=0,Plan!$E$28,MAX(0,Plan!$E$28-(AB51+AC51))))))</f>
        <v/>
      </c>
      <c r="F51" s="50">
        <f>MAX(0,C51+D51-E51)</f>
        <v/>
      </c>
      <c r="G51" s="51">
        <f>(Plan!$C$17+IF(C51&lt;=0,Plan!$E$23,MAX(0,Plan!$E$23-(C51+D51)))+IF(H51&lt;=0,Plan!$E$24,MAX(0,Plan!$E$24-(H51+I51)))+IF(M51&lt;=0,Plan!$E$25,MAX(0,Plan!$E$25-(M51+N51)))+IF(R51&lt;=0,Plan!$E$26,MAX(0,Plan!$E$26-(R51+S51)))+IF(W51&lt;=0,Plan!$E$27,MAX(0,Plan!$E$27-(W51+X51)))+IF(AB51&lt;=0,Plan!$E$28,MAX(0,Plan!$E$28-(AB51+AC51))))-IF(C51&lt;=0,0,MAX(0,E51-Plan!$E$23))</f>
        <v/>
      </c>
      <c r="H51" s="48">
        <f>K50</f>
        <v/>
      </c>
      <c r="I51" s="49">
        <f>IF(H51&gt;0,H51*Plan!$D$24/100/12,0)</f>
        <v/>
      </c>
      <c r="J51" s="48">
        <f>IF(H51&lt;=0,0,MIN(H51+I51,Plan!$E$24+G51))</f>
        <v/>
      </c>
      <c r="K51" s="50">
        <f>MAX(0,H51+I51-J51)</f>
        <v/>
      </c>
      <c r="L51" s="51">
        <f>G51-IF(H51&lt;=0,0,MAX(0,J51-Plan!$E$24))</f>
        <v/>
      </c>
      <c r="M51" s="48">
        <f>P50</f>
        <v/>
      </c>
      <c r="N51" s="49">
        <f>IF(M51&gt;0,M51*Plan!$D$25/100/12,0)</f>
        <v/>
      </c>
      <c r="O51" s="48">
        <f>IF(M51&lt;=0,0,MIN(M51+N51,Plan!$E$25+L51))</f>
        <v/>
      </c>
      <c r="P51" s="50">
        <f>MAX(0,M51+N51-O51)</f>
        <v/>
      </c>
      <c r="Q51" s="51">
        <f>L51-IF(M51&lt;=0,0,MAX(0,O51-Plan!$E$25))</f>
        <v/>
      </c>
      <c r="R51" s="48">
        <f>U50</f>
        <v/>
      </c>
      <c r="S51" s="49">
        <f>IF(R51&gt;0,R51*Plan!$D$26/100/12,0)</f>
        <v/>
      </c>
      <c r="T51" s="48">
        <f>IF(R51&lt;=0,0,MIN(R51+S51,Plan!$E$26+Q51))</f>
        <v/>
      </c>
      <c r="U51" s="50">
        <f>MAX(0,R51+S51-T51)</f>
        <v/>
      </c>
      <c r="V51" s="51">
        <f>Q51-IF(R51&lt;=0,0,MAX(0,T51-Plan!$E$26))</f>
        <v/>
      </c>
      <c r="W51" s="48">
        <f>Z50</f>
        <v/>
      </c>
      <c r="X51" s="49">
        <f>IF(W51&gt;0,W51*Plan!$D$27/100/12,0)</f>
        <v/>
      </c>
      <c r="Y51" s="48">
        <f>IF(W51&lt;=0,0,MIN(W51+X51,Plan!$E$27+V51))</f>
        <v/>
      </c>
      <c r="Z51" s="50">
        <f>MAX(0,W51+X51-Y51)</f>
        <v/>
      </c>
      <c r="AA51" s="51">
        <f>V51-IF(W51&lt;=0,0,MAX(0,Y51-Plan!$E$27))</f>
        <v/>
      </c>
      <c r="AB51" s="48">
        <f>AE50</f>
        <v/>
      </c>
      <c r="AC51" s="49">
        <f>IF(AB51&gt;0,AB51*Plan!$D$28/100/12,0)</f>
        <v/>
      </c>
      <c r="AD51" s="48">
        <f>IF(AB51&lt;=0,0,MIN(AB51+AC51,Plan!$E$28+AA51))</f>
        <v/>
      </c>
      <c r="AE51" s="50">
        <f>MAX(0,AB51+AC51-AD51)</f>
        <v/>
      </c>
      <c r="AF51" s="51">
        <f>AA51-IF(AB51&lt;=0,0,MAX(0,AD51-Plan!$E$28))</f>
        <v/>
      </c>
      <c r="AG51" s="50">
        <f>F51+K51+P51+U51+Z51+AE51</f>
        <v/>
      </c>
    </row>
    <row r="52">
      <c r="A52" s="40" t="n">
        <v>45</v>
      </c>
      <c r="B52" s="41">
        <f>EDATE(Plan!$C$18,44)</f>
        <v/>
      </c>
      <c r="C52" s="42">
        <f>F51</f>
        <v/>
      </c>
      <c r="D52" s="43">
        <f>IF(C52&gt;0,C52*Plan!$D$23/100/12,0)</f>
        <v/>
      </c>
      <c r="E52" s="42">
        <f>IF(C52&lt;=0,0,MIN(C52+D52,Plan!$E$23+(Plan!$C$17+IF(C52&lt;=0,Plan!$E$23,MAX(0,Plan!$E$23-(C52+D52)))+IF(H52&lt;=0,Plan!$E$24,MAX(0,Plan!$E$24-(H52+I52)))+IF(M52&lt;=0,Plan!$E$25,MAX(0,Plan!$E$25-(M52+N52)))+IF(R52&lt;=0,Plan!$E$26,MAX(0,Plan!$E$26-(R52+S52)))+IF(W52&lt;=0,Plan!$E$27,MAX(0,Plan!$E$27-(W52+X52)))+IF(AB52&lt;=0,Plan!$E$28,MAX(0,Plan!$E$28-(AB52+AC52))))))</f>
        <v/>
      </c>
      <c r="F52" s="44">
        <f>MAX(0,C52+D52-E52)</f>
        <v/>
      </c>
      <c r="G52" s="45">
        <f>(Plan!$C$17+IF(C52&lt;=0,Plan!$E$23,MAX(0,Plan!$E$23-(C52+D52)))+IF(H52&lt;=0,Plan!$E$24,MAX(0,Plan!$E$24-(H52+I52)))+IF(M52&lt;=0,Plan!$E$25,MAX(0,Plan!$E$25-(M52+N52)))+IF(R52&lt;=0,Plan!$E$26,MAX(0,Plan!$E$26-(R52+S52)))+IF(W52&lt;=0,Plan!$E$27,MAX(0,Plan!$E$27-(W52+X52)))+IF(AB52&lt;=0,Plan!$E$28,MAX(0,Plan!$E$28-(AB52+AC52))))-IF(C52&lt;=0,0,MAX(0,E52-Plan!$E$23))</f>
        <v/>
      </c>
      <c r="H52" s="42">
        <f>K51</f>
        <v/>
      </c>
      <c r="I52" s="43">
        <f>IF(H52&gt;0,H52*Plan!$D$24/100/12,0)</f>
        <v/>
      </c>
      <c r="J52" s="42">
        <f>IF(H52&lt;=0,0,MIN(H52+I52,Plan!$E$24+G52))</f>
        <v/>
      </c>
      <c r="K52" s="44">
        <f>MAX(0,H52+I52-J52)</f>
        <v/>
      </c>
      <c r="L52" s="45">
        <f>G52-IF(H52&lt;=0,0,MAX(0,J52-Plan!$E$24))</f>
        <v/>
      </c>
      <c r="M52" s="42">
        <f>P51</f>
        <v/>
      </c>
      <c r="N52" s="43">
        <f>IF(M52&gt;0,M52*Plan!$D$25/100/12,0)</f>
        <v/>
      </c>
      <c r="O52" s="42">
        <f>IF(M52&lt;=0,0,MIN(M52+N52,Plan!$E$25+L52))</f>
        <v/>
      </c>
      <c r="P52" s="44">
        <f>MAX(0,M52+N52-O52)</f>
        <v/>
      </c>
      <c r="Q52" s="45">
        <f>L52-IF(M52&lt;=0,0,MAX(0,O52-Plan!$E$25))</f>
        <v/>
      </c>
      <c r="R52" s="42">
        <f>U51</f>
        <v/>
      </c>
      <c r="S52" s="43">
        <f>IF(R52&gt;0,R52*Plan!$D$26/100/12,0)</f>
        <v/>
      </c>
      <c r="T52" s="42">
        <f>IF(R52&lt;=0,0,MIN(R52+S52,Plan!$E$26+Q52))</f>
        <v/>
      </c>
      <c r="U52" s="44">
        <f>MAX(0,R52+S52-T52)</f>
        <v/>
      </c>
      <c r="V52" s="45">
        <f>Q52-IF(R52&lt;=0,0,MAX(0,T52-Plan!$E$26))</f>
        <v/>
      </c>
      <c r="W52" s="42">
        <f>Z51</f>
        <v/>
      </c>
      <c r="X52" s="43">
        <f>IF(W52&gt;0,W52*Plan!$D$27/100/12,0)</f>
        <v/>
      </c>
      <c r="Y52" s="42">
        <f>IF(W52&lt;=0,0,MIN(W52+X52,Plan!$E$27+V52))</f>
        <v/>
      </c>
      <c r="Z52" s="44">
        <f>MAX(0,W52+X52-Y52)</f>
        <v/>
      </c>
      <c r="AA52" s="45">
        <f>V52-IF(W52&lt;=0,0,MAX(0,Y52-Plan!$E$27))</f>
        <v/>
      </c>
      <c r="AB52" s="42">
        <f>AE51</f>
        <v/>
      </c>
      <c r="AC52" s="43">
        <f>IF(AB52&gt;0,AB52*Plan!$D$28/100/12,0)</f>
        <v/>
      </c>
      <c r="AD52" s="42">
        <f>IF(AB52&lt;=0,0,MIN(AB52+AC52,Plan!$E$28+AA52))</f>
        <v/>
      </c>
      <c r="AE52" s="44">
        <f>MAX(0,AB52+AC52-AD52)</f>
        <v/>
      </c>
      <c r="AF52" s="45">
        <f>AA52-IF(AB52&lt;=0,0,MAX(0,AD52-Plan!$E$28))</f>
        <v/>
      </c>
      <c r="AG52" s="44">
        <f>F52+K52+P52+U52+Z52+AE52</f>
        <v/>
      </c>
    </row>
    <row r="53">
      <c r="A53" s="46" t="n">
        <v>46</v>
      </c>
      <c r="B53" s="47">
        <f>EDATE(Plan!$C$18,45)</f>
        <v/>
      </c>
      <c r="C53" s="48">
        <f>F52</f>
        <v/>
      </c>
      <c r="D53" s="49">
        <f>IF(C53&gt;0,C53*Plan!$D$23/100/12,0)</f>
        <v/>
      </c>
      <c r="E53" s="48">
        <f>IF(C53&lt;=0,0,MIN(C53+D53,Plan!$E$23+(Plan!$C$17+IF(C53&lt;=0,Plan!$E$23,MAX(0,Plan!$E$23-(C53+D53)))+IF(H53&lt;=0,Plan!$E$24,MAX(0,Plan!$E$24-(H53+I53)))+IF(M53&lt;=0,Plan!$E$25,MAX(0,Plan!$E$25-(M53+N53)))+IF(R53&lt;=0,Plan!$E$26,MAX(0,Plan!$E$26-(R53+S53)))+IF(W53&lt;=0,Plan!$E$27,MAX(0,Plan!$E$27-(W53+X53)))+IF(AB53&lt;=0,Plan!$E$28,MAX(0,Plan!$E$28-(AB53+AC53))))))</f>
        <v/>
      </c>
      <c r="F53" s="50">
        <f>MAX(0,C53+D53-E53)</f>
        <v/>
      </c>
      <c r="G53" s="51">
        <f>(Plan!$C$17+IF(C53&lt;=0,Plan!$E$23,MAX(0,Plan!$E$23-(C53+D53)))+IF(H53&lt;=0,Plan!$E$24,MAX(0,Plan!$E$24-(H53+I53)))+IF(M53&lt;=0,Plan!$E$25,MAX(0,Plan!$E$25-(M53+N53)))+IF(R53&lt;=0,Plan!$E$26,MAX(0,Plan!$E$26-(R53+S53)))+IF(W53&lt;=0,Plan!$E$27,MAX(0,Plan!$E$27-(W53+X53)))+IF(AB53&lt;=0,Plan!$E$28,MAX(0,Plan!$E$28-(AB53+AC53))))-IF(C53&lt;=0,0,MAX(0,E53-Plan!$E$23))</f>
        <v/>
      </c>
      <c r="H53" s="48">
        <f>K52</f>
        <v/>
      </c>
      <c r="I53" s="49">
        <f>IF(H53&gt;0,H53*Plan!$D$24/100/12,0)</f>
        <v/>
      </c>
      <c r="J53" s="48">
        <f>IF(H53&lt;=0,0,MIN(H53+I53,Plan!$E$24+G53))</f>
        <v/>
      </c>
      <c r="K53" s="50">
        <f>MAX(0,H53+I53-J53)</f>
        <v/>
      </c>
      <c r="L53" s="51">
        <f>G53-IF(H53&lt;=0,0,MAX(0,J53-Plan!$E$24))</f>
        <v/>
      </c>
      <c r="M53" s="48">
        <f>P52</f>
        <v/>
      </c>
      <c r="N53" s="49">
        <f>IF(M53&gt;0,M53*Plan!$D$25/100/12,0)</f>
        <v/>
      </c>
      <c r="O53" s="48">
        <f>IF(M53&lt;=0,0,MIN(M53+N53,Plan!$E$25+L53))</f>
        <v/>
      </c>
      <c r="P53" s="50">
        <f>MAX(0,M53+N53-O53)</f>
        <v/>
      </c>
      <c r="Q53" s="51">
        <f>L53-IF(M53&lt;=0,0,MAX(0,O53-Plan!$E$25))</f>
        <v/>
      </c>
      <c r="R53" s="48">
        <f>U52</f>
        <v/>
      </c>
      <c r="S53" s="49">
        <f>IF(R53&gt;0,R53*Plan!$D$26/100/12,0)</f>
        <v/>
      </c>
      <c r="T53" s="48">
        <f>IF(R53&lt;=0,0,MIN(R53+S53,Plan!$E$26+Q53))</f>
        <v/>
      </c>
      <c r="U53" s="50">
        <f>MAX(0,R53+S53-T53)</f>
        <v/>
      </c>
      <c r="V53" s="51">
        <f>Q53-IF(R53&lt;=0,0,MAX(0,T53-Plan!$E$26))</f>
        <v/>
      </c>
      <c r="W53" s="48">
        <f>Z52</f>
        <v/>
      </c>
      <c r="X53" s="49">
        <f>IF(W53&gt;0,W53*Plan!$D$27/100/12,0)</f>
        <v/>
      </c>
      <c r="Y53" s="48">
        <f>IF(W53&lt;=0,0,MIN(W53+X53,Plan!$E$27+V53))</f>
        <v/>
      </c>
      <c r="Z53" s="50">
        <f>MAX(0,W53+X53-Y53)</f>
        <v/>
      </c>
      <c r="AA53" s="51">
        <f>V53-IF(W53&lt;=0,0,MAX(0,Y53-Plan!$E$27))</f>
        <v/>
      </c>
      <c r="AB53" s="48">
        <f>AE52</f>
        <v/>
      </c>
      <c r="AC53" s="49">
        <f>IF(AB53&gt;0,AB53*Plan!$D$28/100/12,0)</f>
        <v/>
      </c>
      <c r="AD53" s="48">
        <f>IF(AB53&lt;=0,0,MIN(AB53+AC53,Plan!$E$28+AA53))</f>
        <v/>
      </c>
      <c r="AE53" s="50">
        <f>MAX(0,AB53+AC53-AD53)</f>
        <v/>
      </c>
      <c r="AF53" s="51">
        <f>AA53-IF(AB53&lt;=0,0,MAX(0,AD53-Plan!$E$28))</f>
        <v/>
      </c>
      <c r="AG53" s="50">
        <f>F53+K53+P53+U53+Z53+AE53</f>
        <v/>
      </c>
    </row>
    <row r="54">
      <c r="A54" s="40" t="n">
        <v>47</v>
      </c>
      <c r="B54" s="41">
        <f>EDATE(Plan!$C$18,46)</f>
        <v/>
      </c>
      <c r="C54" s="42">
        <f>F53</f>
        <v/>
      </c>
      <c r="D54" s="43">
        <f>IF(C54&gt;0,C54*Plan!$D$23/100/12,0)</f>
        <v/>
      </c>
      <c r="E54" s="42">
        <f>IF(C54&lt;=0,0,MIN(C54+D54,Plan!$E$23+(Plan!$C$17+IF(C54&lt;=0,Plan!$E$23,MAX(0,Plan!$E$23-(C54+D54)))+IF(H54&lt;=0,Plan!$E$24,MAX(0,Plan!$E$24-(H54+I54)))+IF(M54&lt;=0,Plan!$E$25,MAX(0,Plan!$E$25-(M54+N54)))+IF(R54&lt;=0,Plan!$E$26,MAX(0,Plan!$E$26-(R54+S54)))+IF(W54&lt;=0,Plan!$E$27,MAX(0,Plan!$E$27-(W54+X54)))+IF(AB54&lt;=0,Plan!$E$28,MAX(0,Plan!$E$28-(AB54+AC54))))))</f>
        <v/>
      </c>
      <c r="F54" s="44">
        <f>MAX(0,C54+D54-E54)</f>
        <v/>
      </c>
      <c r="G54" s="45">
        <f>(Plan!$C$17+IF(C54&lt;=0,Plan!$E$23,MAX(0,Plan!$E$23-(C54+D54)))+IF(H54&lt;=0,Plan!$E$24,MAX(0,Plan!$E$24-(H54+I54)))+IF(M54&lt;=0,Plan!$E$25,MAX(0,Plan!$E$25-(M54+N54)))+IF(R54&lt;=0,Plan!$E$26,MAX(0,Plan!$E$26-(R54+S54)))+IF(W54&lt;=0,Plan!$E$27,MAX(0,Plan!$E$27-(W54+X54)))+IF(AB54&lt;=0,Plan!$E$28,MAX(0,Plan!$E$28-(AB54+AC54))))-IF(C54&lt;=0,0,MAX(0,E54-Plan!$E$23))</f>
        <v/>
      </c>
      <c r="H54" s="42">
        <f>K53</f>
        <v/>
      </c>
      <c r="I54" s="43">
        <f>IF(H54&gt;0,H54*Plan!$D$24/100/12,0)</f>
        <v/>
      </c>
      <c r="J54" s="42">
        <f>IF(H54&lt;=0,0,MIN(H54+I54,Plan!$E$24+G54))</f>
        <v/>
      </c>
      <c r="K54" s="44">
        <f>MAX(0,H54+I54-J54)</f>
        <v/>
      </c>
      <c r="L54" s="45">
        <f>G54-IF(H54&lt;=0,0,MAX(0,J54-Plan!$E$24))</f>
        <v/>
      </c>
      <c r="M54" s="42">
        <f>P53</f>
        <v/>
      </c>
      <c r="N54" s="43">
        <f>IF(M54&gt;0,M54*Plan!$D$25/100/12,0)</f>
        <v/>
      </c>
      <c r="O54" s="42">
        <f>IF(M54&lt;=0,0,MIN(M54+N54,Plan!$E$25+L54))</f>
        <v/>
      </c>
      <c r="P54" s="44">
        <f>MAX(0,M54+N54-O54)</f>
        <v/>
      </c>
      <c r="Q54" s="45">
        <f>L54-IF(M54&lt;=0,0,MAX(0,O54-Plan!$E$25))</f>
        <v/>
      </c>
      <c r="R54" s="42">
        <f>U53</f>
        <v/>
      </c>
      <c r="S54" s="43">
        <f>IF(R54&gt;0,R54*Plan!$D$26/100/12,0)</f>
        <v/>
      </c>
      <c r="T54" s="42">
        <f>IF(R54&lt;=0,0,MIN(R54+S54,Plan!$E$26+Q54))</f>
        <v/>
      </c>
      <c r="U54" s="44">
        <f>MAX(0,R54+S54-T54)</f>
        <v/>
      </c>
      <c r="V54" s="45">
        <f>Q54-IF(R54&lt;=0,0,MAX(0,T54-Plan!$E$26))</f>
        <v/>
      </c>
      <c r="W54" s="42">
        <f>Z53</f>
        <v/>
      </c>
      <c r="X54" s="43">
        <f>IF(W54&gt;0,W54*Plan!$D$27/100/12,0)</f>
        <v/>
      </c>
      <c r="Y54" s="42">
        <f>IF(W54&lt;=0,0,MIN(W54+X54,Plan!$E$27+V54))</f>
        <v/>
      </c>
      <c r="Z54" s="44">
        <f>MAX(0,W54+X54-Y54)</f>
        <v/>
      </c>
      <c r="AA54" s="45">
        <f>V54-IF(W54&lt;=0,0,MAX(0,Y54-Plan!$E$27))</f>
        <v/>
      </c>
      <c r="AB54" s="42">
        <f>AE53</f>
        <v/>
      </c>
      <c r="AC54" s="43">
        <f>IF(AB54&gt;0,AB54*Plan!$D$28/100/12,0)</f>
        <v/>
      </c>
      <c r="AD54" s="42">
        <f>IF(AB54&lt;=0,0,MIN(AB54+AC54,Plan!$E$28+AA54))</f>
        <v/>
      </c>
      <c r="AE54" s="44">
        <f>MAX(0,AB54+AC54-AD54)</f>
        <v/>
      </c>
      <c r="AF54" s="45">
        <f>AA54-IF(AB54&lt;=0,0,MAX(0,AD54-Plan!$E$28))</f>
        <v/>
      </c>
      <c r="AG54" s="44">
        <f>F54+K54+P54+U54+Z54+AE54</f>
        <v/>
      </c>
    </row>
    <row r="55">
      <c r="A55" s="46" t="n">
        <v>48</v>
      </c>
      <c r="B55" s="47">
        <f>EDATE(Plan!$C$18,47)</f>
        <v/>
      </c>
      <c r="C55" s="48">
        <f>F54</f>
        <v/>
      </c>
      <c r="D55" s="49">
        <f>IF(C55&gt;0,C55*Plan!$D$23/100/12,0)</f>
        <v/>
      </c>
      <c r="E55" s="48">
        <f>IF(C55&lt;=0,0,MIN(C55+D55,Plan!$E$23+(Plan!$C$17+IF(C55&lt;=0,Plan!$E$23,MAX(0,Plan!$E$23-(C55+D55)))+IF(H55&lt;=0,Plan!$E$24,MAX(0,Plan!$E$24-(H55+I55)))+IF(M55&lt;=0,Plan!$E$25,MAX(0,Plan!$E$25-(M55+N55)))+IF(R55&lt;=0,Plan!$E$26,MAX(0,Plan!$E$26-(R55+S55)))+IF(W55&lt;=0,Plan!$E$27,MAX(0,Plan!$E$27-(W55+X55)))+IF(AB55&lt;=0,Plan!$E$28,MAX(0,Plan!$E$28-(AB55+AC55))))))</f>
        <v/>
      </c>
      <c r="F55" s="50">
        <f>MAX(0,C55+D55-E55)</f>
        <v/>
      </c>
      <c r="G55" s="51">
        <f>(Plan!$C$17+IF(C55&lt;=0,Plan!$E$23,MAX(0,Plan!$E$23-(C55+D55)))+IF(H55&lt;=0,Plan!$E$24,MAX(0,Plan!$E$24-(H55+I55)))+IF(M55&lt;=0,Plan!$E$25,MAX(0,Plan!$E$25-(M55+N55)))+IF(R55&lt;=0,Plan!$E$26,MAX(0,Plan!$E$26-(R55+S55)))+IF(W55&lt;=0,Plan!$E$27,MAX(0,Plan!$E$27-(W55+X55)))+IF(AB55&lt;=0,Plan!$E$28,MAX(0,Plan!$E$28-(AB55+AC55))))-IF(C55&lt;=0,0,MAX(0,E55-Plan!$E$23))</f>
        <v/>
      </c>
      <c r="H55" s="48">
        <f>K54</f>
        <v/>
      </c>
      <c r="I55" s="49">
        <f>IF(H55&gt;0,H55*Plan!$D$24/100/12,0)</f>
        <v/>
      </c>
      <c r="J55" s="48">
        <f>IF(H55&lt;=0,0,MIN(H55+I55,Plan!$E$24+G55))</f>
        <v/>
      </c>
      <c r="K55" s="50">
        <f>MAX(0,H55+I55-J55)</f>
        <v/>
      </c>
      <c r="L55" s="51">
        <f>G55-IF(H55&lt;=0,0,MAX(0,J55-Plan!$E$24))</f>
        <v/>
      </c>
      <c r="M55" s="48">
        <f>P54</f>
        <v/>
      </c>
      <c r="N55" s="49">
        <f>IF(M55&gt;0,M55*Plan!$D$25/100/12,0)</f>
        <v/>
      </c>
      <c r="O55" s="48">
        <f>IF(M55&lt;=0,0,MIN(M55+N55,Plan!$E$25+L55))</f>
        <v/>
      </c>
      <c r="P55" s="50">
        <f>MAX(0,M55+N55-O55)</f>
        <v/>
      </c>
      <c r="Q55" s="51">
        <f>L55-IF(M55&lt;=0,0,MAX(0,O55-Plan!$E$25))</f>
        <v/>
      </c>
      <c r="R55" s="48">
        <f>U54</f>
        <v/>
      </c>
      <c r="S55" s="49">
        <f>IF(R55&gt;0,R55*Plan!$D$26/100/12,0)</f>
        <v/>
      </c>
      <c r="T55" s="48">
        <f>IF(R55&lt;=0,0,MIN(R55+S55,Plan!$E$26+Q55))</f>
        <v/>
      </c>
      <c r="U55" s="50">
        <f>MAX(0,R55+S55-T55)</f>
        <v/>
      </c>
      <c r="V55" s="51">
        <f>Q55-IF(R55&lt;=0,0,MAX(0,T55-Plan!$E$26))</f>
        <v/>
      </c>
      <c r="W55" s="48">
        <f>Z54</f>
        <v/>
      </c>
      <c r="X55" s="49">
        <f>IF(W55&gt;0,W55*Plan!$D$27/100/12,0)</f>
        <v/>
      </c>
      <c r="Y55" s="48">
        <f>IF(W55&lt;=0,0,MIN(W55+X55,Plan!$E$27+V55))</f>
        <v/>
      </c>
      <c r="Z55" s="50">
        <f>MAX(0,W55+X55-Y55)</f>
        <v/>
      </c>
      <c r="AA55" s="51">
        <f>V55-IF(W55&lt;=0,0,MAX(0,Y55-Plan!$E$27))</f>
        <v/>
      </c>
      <c r="AB55" s="48">
        <f>AE54</f>
        <v/>
      </c>
      <c r="AC55" s="49">
        <f>IF(AB55&gt;0,AB55*Plan!$D$28/100/12,0)</f>
        <v/>
      </c>
      <c r="AD55" s="48">
        <f>IF(AB55&lt;=0,0,MIN(AB55+AC55,Plan!$E$28+AA55))</f>
        <v/>
      </c>
      <c r="AE55" s="50">
        <f>MAX(0,AB55+AC55-AD55)</f>
        <v/>
      </c>
      <c r="AF55" s="51">
        <f>AA55-IF(AB55&lt;=0,0,MAX(0,AD55-Plan!$E$28))</f>
        <v/>
      </c>
      <c r="AG55" s="50">
        <f>F55+K55+P55+U55+Z55+AE55</f>
        <v/>
      </c>
    </row>
    <row r="56">
      <c r="A56" s="40" t="n">
        <v>49</v>
      </c>
      <c r="B56" s="41">
        <f>EDATE(Plan!$C$18,48)</f>
        <v/>
      </c>
      <c r="C56" s="42">
        <f>F55</f>
        <v/>
      </c>
      <c r="D56" s="43">
        <f>IF(C56&gt;0,C56*Plan!$D$23/100/12,0)</f>
        <v/>
      </c>
      <c r="E56" s="42">
        <f>IF(C56&lt;=0,0,MIN(C56+D56,Plan!$E$23+(Plan!$C$17+IF(C56&lt;=0,Plan!$E$23,MAX(0,Plan!$E$23-(C56+D56)))+IF(H56&lt;=0,Plan!$E$24,MAX(0,Plan!$E$24-(H56+I56)))+IF(M56&lt;=0,Plan!$E$25,MAX(0,Plan!$E$25-(M56+N56)))+IF(R56&lt;=0,Plan!$E$26,MAX(0,Plan!$E$26-(R56+S56)))+IF(W56&lt;=0,Plan!$E$27,MAX(0,Plan!$E$27-(W56+X56)))+IF(AB56&lt;=0,Plan!$E$28,MAX(0,Plan!$E$28-(AB56+AC56))))))</f>
        <v/>
      </c>
      <c r="F56" s="44">
        <f>MAX(0,C56+D56-E56)</f>
        <v/>
      </c>
      <c r="G56" s="45">
        <f>(Plan!$C$17+IF(C56&lt;=0,Plan!$E$23,MAX(0,Plan!$E$23-(C56+D56)))+IF(H56&lt;=0,Plan!$E$24,MAX(0,Plan!$E$24-(H56+I56)))+IF(M56&lt;=0,Plan!$E$25,MAX(0,Plan!$E$25-(M56+N56)))+IF(R56&lt;=0,Plan!$E$26,MAX(0,Plan!$E$26-(R56+S56)))+IF(W56&lt;=0,Plan!$E$27,MAX(0,Plan!$E$27-(W56+X56)))+IF(AB56&lt;=0,Plan!$E$28,MAX(0,Plan!$E$28-(AB56+AC56))))-IF(C56&lt;=0,0,MAX(0,E56-Plan!$E$23))</f>
        <v/>
      </c>
      <c r="H56" s="42">
        <f>K55</f>
        <v/>
      </c>
      <c r="I56" s="43">
        <f>IF(H56&gt;0,H56*Plan!$D$24/100/12,0)</f>
        <v/>
      </c>
      <c r="J56" s="42">
        <f>IF(H56&lt;=0,0,MIN(H56+I56,Plan!$E$24+G56))</f>
        <v/>
      </c>
      <c r="K56" s="44">
        <f>MAX(0,H56+I56-J56)</f>
        <v/>
      </c>
      <c r="L56" s="45">
        <f>G56-IF(H56&lt;=0,0,MAX(0,J56-Plan!$E$24))</f>
        <v/>
      </c>
      <c r="M56" s="42">
        <f>P55</f>
        <v/>
      </c>
      <c r="N56" s="43">
        <f>IF(M56&gt;0,M56*Plan!$D$25/100/12,0)</f>
        <v/>
      </c>
      <c r="O56" s="42">
        <f>IF(M56&lt;=0,0,MIN(M56+N56,Plan!$E$25+L56))</f>
        <v/>
      </c>
      <c r="P56" s="44">
        <f>MAX(0,M56+N56-O56)</f>
        <v/>
      </c>
      <c r="Q56" s="45">
        <f>L56-IF(M56&lt;=0,0,MAX(0,O56-Plan!$E$25))</f>
        <v/>
      </c>
      <c r="R56" s="42">
        <f>U55</f>
        <v/>
      </c>
      <c r="S56" s="43">
        <f>IF(R56&gt;0,R56*Plan!$D$26/100/12,0)</f>
        <v/>
      </c>
      <c r="T56" s="42">
        <f>IF(R56&lt;=0,0,MIN(R56+S56,Plan!$E$26+Q56))</f>
        <v/>
      </c>
      <c r="U56" s="44">
        <f>MAX(0,R56+S56-T56)</f>
        <v/>
      </c>
      <c r="V56" s="45">
        <f>Q56-IF(R56&lt;=0,0,MAX(0,T56-Plan!$E$26))</f>
        <v/>
      </c>
      <c r="W56" s="42">
        <f>Z55</f>
        <v/>
      </c>
      <c r="X56" s="43">
        <f>IF(W56&gt;0,W56*Plan!$D$27/100/12,0)</f>
        <v/>
      </c>
      <c r="Y56" s="42">
        <f>IF(W56&lt;=0,0,MIN(W56+X56,Plan!$E$27+V56))</f>
        <v/>
      </c>
      <c r="Z56" s="44">
        <f>MAX(0,W56+X56-Y56)</f>
        <v/>
      </c>
      <c r="AA56" s="45">
        <f>V56-IF(W56&lt;=0,0,MAX(0,Y56-Plan!$E$27))</f>
        <v/>
      </c>
      <c r="AB56" s="42">
        <f>AE55</f>
        <v/>
      </c>
      <c r="AC56" s="43">
        <f>IF(AB56&gt;0,AB56*Plan!$D$28/100/12,0)</f>
        <v/>
      </c>
      <c r="AD56" s="42">
        <f>IF(AB56&lt;=0,0,MIN(AB56+AC56,Plan!$E$28+AA56))</f>
        <v/>
      </c>
      <c r="AE56" s="44">
        <f>MAX(0,AB56+AC56-AD56)</f>
        <v/>
      </c>
      <c r="AF56" s="45">
        <f>AA56-IF(AB56&lt;=0,0,MAX(0,AD56-Plan!$E$28))</f>
        <v/>
      </c>
      <c r="AG56" s="44">
        <f>F56+K56+P56+U56+Z56+AE56</f>
        <v/>
      </c>
    </row>
    <row r="57">
      <c r="A57" s="46" t="n">
        <v>50</v>
      </c>
      <c r="B57" s="47">
        <f>EDATE(Plan!$C$18,49)</f>
        <v/>
      </c>
      <c r="C57" s="48">
        <f>F56</f>
        <v/>
      </c>
      <c r="D57" s="49">
        <f>IF(C57&gt;0,C57*Plan!$D$23/100/12,0)</f>
        <v/>
      </c>
      <c r="E57" s="48">
        <f>IF(C57&lt;=0,0,MIN(C57+D57,Plan!$E$23+(Plan!$C$17+IF(C57&lt;=0,Plan!$E$23,MAX(0,Plan!$E$23-(C57+D57)))+IF(H57&lt;=0,Plan!$E$24,MAX(0,Plan!$E$24-(H57+I57)))+IF(M57&lt;=0,Plan!$E$25,MAX(0,Plan!$E$25-(M57+N57)))+IF(R57&lt;=0,Plan!$E$26,MAX(0,Plan!$E$26-(R57+S57)))+IF(W57&lt;=0,Plan!$E$27,MAX(0,Plan!$E$27-(W57+X57)))+IF(AB57&lt;=0,Plan!$E$28,MAX(0,Plan!$E$28-(AB57+AC57))))))</f>
        <v/>
      </c>
      <c r="F57" s="50">
        <f>MAX(0,C57+D57-E57)</f>
        <v/>
      </c>
      <c r="G57" s="51">
        <f>(Plan!$C$17+IF(C57&lt;=0,Plan!$E$23,MAX(0,Plan!$E$23-(C57+D57)))+IF(H57&lt;=0,Plan!$E$24,MAX(0,Plan!$E$24-(H57+I57)))+IF(M57&lt;=0,Plan!$E$25,MAX(0,Plan!$E$25-(M57+N57)))+IF(R57&lt;=0,Plan!$E$26,MAX(0,Plan!$E$26-(R57+S57)))+IF(W57&lt;=0,Plan!$E$27,MAX(0,Plan!$E$27-(W57+X57)))+IF(AB57&lt;=0,Plan!$E$28,MAX(0,Plan!$E$28-(AB57+AC57))))-IF(C57&lt;=0,0,MAX(0,E57-Plan!$E$23))</f>
        <v/>
      </c>
      <c r="H57" s="48">
        <f>K56</f>
        <v/>
      </c>
      <c r="I57" s="49">
        <f>IF(H57&gt;0,H57*Plan!$D$24/100/12,0)</f>
        <v/>
      </c>
      <c r="J57" s="48">
        <f>IF(H57&lt;=0,0,MIN(H57+I57,Plan!$E$24+G57))</f>
        <v/>
      </c>
      <c r="K57" s="50">
        <f>MAX(0,H57+I57-J57)</f>
        <v/>
      </c>
      <c r="L57" s="51">
        <f>G57-IF(H57&lt;=0,0,MAX(0,J57-Plan!$E$24))</f>
        <v/>
      </c>
      <c r="M57" s="48">
        <f>P56</f>
        <v/>
      </c>
      <c r="N57" s="49">
        <f>IF(M57&gt;0,M57*Plan!$D$25/100/12,0)</f>
        <v/>
      </c>
      <c r="O57" s="48">
        <f>IF(M57&lt;=0,0,MIN(M57+N57,Plan!$E$25+L57))</f>
        <v/>
      </c>
      <c r="P57" s="50">
        <f>MAX(0,M57+N57-O57)</f>
        <v/>
      </c>
      <c r="Q57" s="51">
        <f>L57-IF(M57&lt;=0,0,MAX(0,O57-Plan!$E$25))</f>
        <v/>
      </c>
      <c r="R57" s="48">
        <f>U56</f>
        <v/>
      </c>
      <c r="S57" s="49">
        <f>IF(R57&gt;0,R57*Plan!$D$26/100/12,0)</f>
        <v/>
      </c>
      <c r="T57" s="48">
        <f>IF(R57&lt;=0,0,MIN(R57+S57,Plan!$E$26+Q57))</f>
        <v/>
      </c>
      <c r="U57" s="50">
        <f>MAX(0,R57+S57-T57)</f>
        <v/>
      </c>
      <c r="V57" s="51">
        <f>Q57-IF(R57&lt;=0,0,MAX(0,T57-Plan!$E$26))</f>
        <v/>
      </c>
      <c r="W57" s="48">
        <f>Z56</f>
        <v/>
      </c>
      <c r="X57" s="49">
        <f>IF(W57&gt;0,W57*Plan!$D$27/100/12,0)</f>
        <v/>
      </c>
      <c r="Y57" s="48">
        <f>IF(W57&lt;=0,0,MIN(W57+X57,Plan!$E$27+V57))</f>
        <v/>
      </c>
      <c r="Z57" s="50">
        <f>MAX(0,W57+X57-Y57)</f>
        <v/>
      </c>
      <c r="AA57" s="51">
        <f>V57-IF(W57&lt;=0,0,MAX(0,Y57-Plan!$E$27))</f>
        <v/>
      </c>
      <c r="AB57" s="48">
        <f>AE56</f>
        <v/>
      </c>
      <c r="AC57" s="49">
        <f>IF(AB57&gt;0,AB57*Plan!$D$28/100/12,0)</f>
        <v/>
      </c>
      <c r="AD57" s="48">
        <f>IF(AB57&lt;=0,0,MIN(AB57+AC57,Plan!$E$28+AA57))</f>
        <v/>
      </c>
      <c r="AE57" s="50">
        <f>MAX(0,AB57+AC57-AD57)</f>
        <v/>
      </c>
      <c r="AF57" s="51">
        <f>AA57-IF(AB57&lt;=0,0,MAX(0,AD57-Plan!$E$28))</f>
        <v/>
      </c>
      <c r="AG57" s="50">
        <f>F57+K57+P57+U57+Z57+AE57</f>
        <v/>
      </c>
    </row>
    <row r="58">
      <c r="A58" s="40" t="n">
        <v>51</v>
      </c>
      <c r="B58" s="41">
        <f>EDATE(Plan!$C$18,50)</f>
        <v/>
      </c>
      <c r="C58" s="42">
        <f>F57</f>
        <v/>
      </c>
      <c r="D58" s="43">
        <f>IF(C58&gt;0,C58*Plan!$D$23/100/12,0)</f>
        <v/>
      </c>
      <c r="E58" s="42">
        <f>IF(C58&lt;=0,0,MIN(C58+D58,Plan!$E$23+(Plan!$C$17+IF(C58&lt;=0,Plan!$E$23,MAX(0,Plan!$E$23-(C58+D58)))+IF(H58&lt;=0,Plan!$E$24,MAX(0,Plan!$E$24-(H58+I58)))+IF(M58&lt;=0,Plan!$E$25,MAX(0,Plan!$E$25-(M58+N58)))+IF(R58&lt;=0,Plan!$E$26,MAX(0,Plan!$E$26-(R58+S58)))+IF(W58&lt;=0,Plan!$E$27,MAX(0,Plan!$E$27-(W58+X58)))+IF(AB58&lt;=0,Plan!$E$28,MAX(0,Plan!$E$28-(AB58+AC58))))))</f>
        <v/>
      </c>
      <c r="F58" s="44">
        <f>MAX(0,C58+D58-E58)</f>
        <v/>
      </c>
      <c r="G58" s="45">
        <f>(Plan!$C$17+IF(C58&lt;=0,Plan!$E$23,MAX(0,Plan!$E$23-(C58+D58)))+IF(H58&lt;=0,Plan!$E$24,MAX(0,Plan!$E$24-(H58+I58)))+IF(M58&lt;=0,Plan!$E$25,MAX(0,Plan!$E$25-(M58+N58)))+IF(R58&lt;=0,Plan!$E$26,MAX(0,Plan!$E$26-(R58+S58)))+IF(W58&lt;=0,Plan!$E$27,MAX(0,Plan!$E$27-(W58+X58)))+IF(AB58&lt;=0,Plan!$E$28,MAX(0,Plan!$E$28-(AB58+AC58))))-IF(C58&lt;=0,0,MAX(0,E58-Plan!$E$23))</f>
        <v/>
      </c>
      <c r="H58" s="42">
        <f>K57</f>
        <v/>
      </c>
      <c r="I58" s="43">
        <f>IF(H58&gt;0,H58*Plan!$D$24/100/12,0)</f>
        <v/>
      </c>
      <c r="J58" s="42">
        <f>IF(H58&lt;=0,0,MIN(H58+I58,Plan!$E$24+G58))</f>
        <v/>
      </c>
      <c r="K58" s="44">
        <f>MAX(0,H58+I58-J58)</f>
        <v/>
      </c>
      <c r="L58" s="45">
        <f>G58-IF(H58&lt;=0,0,MAX(0,J58-Plan!$E$24))</f>
        <v/>
      </c>
      <c r="M58" s="42">
        <f>P57</f>
        <v/>
      </c>
      <c r="N58" s="43">
        <f>IF(M58&gt;0,M58*Plan!$D$25/100/12,0)</f>
        <v/>
      </c>
      <c r="O58" s="42">
        <f>IF(M58&lt;=0,0,MIN(M58+N58,Plan!$E$25+L58))</f>
        <v/>
      </c>
      <c r="P58" s="44">
        <f>MAX(0,M58+N58-O58)</f>
        <v/>
      </c>
      <c r="Q58" s="45">
        <f>L58-IF(M58&lt;=0,0,MAX(0,O58-Plan!$E$25))</f>
        <v/>
      </c>
      <c r="R58" s="42">
        <f>U57</f>
        <v/>
      </c>
      <c r="S58" s="43">
        <f>IF(R58&gt;0,R58*Plan!$D$26/100/12,0)</f>
        <v/>
      </c>
      <c r="T58" s="42">
        <f>IF(R58&lt;=0,0,MIN(R58+S58,Plan!$E$26+Q58))</f>
        <v/>
      </c>
      <c r="U58" s="44">
        <f>MAX(0,R58+S58-T58)</f>
        <v/>
      </c>
      <c r="V58" s="45">
        <f>Q58-IF(R58&lt;=0,0,MAX(0,T58-Plan!$E$26))</f>
        <v/>
      </c>
      <c r="W58" s="42">
        <f>Z57</f>
        <v/>
      </c>
      <c r="X58" s="43">
        <f>IF(W58&gt;0,W58*Plan!$D$27/100/12,0)</f>
        <v/>
      </c>
      <c r="Y58" s="42">
        <f>IF(W58&lt;=0,0,MIN(W58+X58,Plan!$E$27+V58))</f>
        <v/>
      </c>
      <c r="Z58" s="44">
        <f>MAX(0,W58+X58-Y58)</f>
        <v/>
      </c>
      <c r="AA58" s="45">
        <f>V58-IF(W58&lt;=0,0,MAX(0,Y58-Plan!$E$27))</f>
        <v/>
      </c>
      <c r="AB58" s="42">
        <f>AE57</f>
        <v/>
      </c>
      <c r="AC58" s="43">
        <f>IF(AB58&gt;0,AB58*Plan!$D$28/100/12,0)</f>
        <v/>
      </c>
      <c r="AD58" s="42">
        <f>IF(AB58&lt;=0,0,MIN(AB58+AC58,Plan!$E$28+AA58))</f>
        <v/>
      </c>
      <c r="AE58" s="44">
        <f>MAX(0,AB58+AC58-AD58)</f>
        <v/>
      </c>
      <c r="AF58" s="45">
        <f>AA58-IF(AB58&lt;=0,0,MAX(0,AD58-Plan!$E$28))</f>
        <v/>
      </c>
      <c r="AG58" s="44">
        <f>F58+K58+P58+U58+Z58+AE58</f>
        <v/>
      </c>
    </row>
    <row r="59">
      <c r="A59" s="46" t="n">
        <v>52</v>
      </c>
      <c r="B59" s="47">
        <f>EDATE(Plan!$C$18,51)</f>
        <v/>
      </c>
      <c r="C59" s="48">
        <f>F58</f>
        <v/>
      </c>
      <c r="D59" s="49">
        <f>IF(C59&gt;0,C59*Plan!$D$23/100/12,0)</f>
        <v/>
      </c>
      <c r="E59" s="48">
        <f>IF(C59&lt;=0,0,MIN(C59+D59,Plan!$E$23+(Plan!$C$17+IF(C59&lt;=0,Plan!$E$23,MAX(0,Plan!$E$23-(C59+D59)))+IF(H59&lt;=0,Plan!$E$24,MAX(0,Plan!$E$24-(H59+I59)))+IF(M59&lt;=0,Plan!$E$25,MAX(0,Plan!$E$25-(M59+N59)))+IF(R59&lt;=0,Plan!$E$26,MAX(0,Plan!$E$26-(R59+S59)))+IF(W59&lt;=0,Plan!$E$27,MAX(0,Plan!$E$27-(W59+X59)))+IF(AB59&lt;=0,Plan!$E$28,MAX(0,Plan!$E$28-(AB59+AC59))))))</f>
        <v/>
      </c>
      <c r="F59" s="50">
        <f>MAX(0,C59+D59-E59)</f>
        <v/>
      </c>
      <c r="G59" s="51">
        <f>(Plan!$C$17+IF(C59&lt;=0,Plan!$E$23,MAX(0,Plan!$E$23-(C59+D59)))+IF(H59&lt;=0,Plan!$E$24,MAX(0,Plan!$E$24-(H59+I59)))+IF(M59&lt;=0,Plan!$E$25,MAX(0,Plan!$E$25-(M59+N59)))+IF(R59&lt;=0,Plan!$E$26,MAX(0,Plan!$E$26-(R59+S59)))+IF(W59&lt;=0,Plan!$E$27,MAX(0,Plan!$E$27-(W59+X59)))+IF(AB59&lt;=0,Plan!$E$28,MAX(0,Plan!$E$28-(AB59+AC59))))-IF(C59&lt;=0,0,MAX(0,E59-Plan!$E$23))</f>
        <v/>
      </c>
      <c r="H59" s="48">
        <f>K58</f>
        <v/>
      </c>
      <c r="I59" s="49">
        <f>IF(H59&gt;0,H59*Plan!$D$24/100/12,0)</f>
        <v/>
      </c>
      <c r="J59" s="48">
        <f>IF(H59&lt;=0,0,MIN(H59+I59,Plan!$E$24+G59))</f>
        <v/>
      </c>
      <c r="K59" s="50">
        <f>MAX(0,H59+I59-J59)</f>
        <v/>
      </c>
      <c r="L59" s="51">
        <f>G59-IF(H59&lt;=0,0,MAX(0,J59-Plan!$E$24))</f>
        <v/>
      </c>
      <c r="M59" s="48">
        <f>P58</f>
        <v/>
      </c>
      <c r="N59" s="49">
        <f>IF(M59&gt;0,M59*Plan!$D$25/100/12,0)</f>
        <v/>
      </c>
      <c r="O59" s="48">
        <f>IF(M59&lt;=0,0,MIN(M59+N59,Plan!$E$25+L59))</f>
        <v/>
      </c>
      <c r="P59" s="50">
        <f>MAX(0,M59+N59-O59)</f>
        <v/>
      </c>
      <c r="Q59" s="51">
        <f>L59-IF(M59&lt;=0,0,MAX(0,O59-Plan!$E$25))</f>
        <v/>
      </c>
      <c r="R59" s="48">
        <f>U58</f>
        <v/>
      </c>
      <c r="S59" s="49">
        <f>IF(R59&gt;0,R59*Plan!$D$26/100/12,0)</f>
        <v/>
      </c>
      <c r="T59" s="48">
        <f>IF(R59&lt;=0,0,MIN(R59+S59,Plan!$E$26+Q59))</f>
        <v/>
      </c>
      <c r="U59" s="50">
        <f>MAX(0,R59+S59-T59)</f>
        <v/>
      </c>
      <c r="V59" s="51">
        <f>Q59-IF(R59&lt;=0,0,MAX(0,T59-Plan!$E$26))</f>
        <v/>
      </c>
      <c r="W59" s="48">
        <f>Z58</f>
        <v/>
      </c>
      <c r="X59" s="49">
        <f>IF(W59&gt;0,W59*Plan!$D$27/100/12,0)</f>
        <v/>
      </c>
      <c r="Y59" s="48">
        <f>IF(W59&lt;=0,0,MIN(W59+X59,Plan!$E$27+V59))</f>
        <v/>
      </c>
      <c r="Z59" s="50">
        <f>MAX(0,W59+X59-Y59)</f>
        <v/>
      </c>
      <c r="AA59" s="51">
        <f>V59-IF(W59&lt;=0,0,MAX(0,Y59-Plan!$E$27))</f>
        <v/>
      </c>
      <c r="AB59" s="48">
        <f>AE58</f>
        <v/>
      </c>
      <c r="AC59" s="49">
        <f>IF(AB59&gt;0,AB59*Plan!$D$28/100/12,0)</f>
        <v/>
      </c>
      <c r="AD59" s="48">
        <f>IF(AB59&lt;=0,0,MIN(AB59+AC59,Plan!$E$28+AA59))</f>
        <v/>
      </c>
      <c r="AE59" s="50">
        <f>MAX(0,AB59+AC59-AD59)</f>
        <v/>
      </c>
      <c r="AF59" s="51">
        <f>AA59-IF(AB59&lt;=0,0,MAX(0,AD59-Plan!$E$28))</f>
        <v/>
      </c>
      <c r="AG59" s="50">
        <f>F59+K59+P59+U59+Z59+AE59</f>
        <v/>
      </c>
    </row>
    <row r="60">
      <c r="A60" s="40" t="n">
        <v>53</v>
      </c>
      <c r="B60" s="41">
        <f>EDATE(Plan!$C$18,52)</f>
        <v/>
      </c>
      <c r="C60" s="42">
        <f>F59</f>
        <v/>
      </c>
      <c r="D60" s="43">
        <f>IF(C60&gt;0,C60*Plan!$D$23/100/12,0)</f>
        <v/>
      </c>
      <c r="E60" s="42">
        <f>IF(C60&lt;=0,0,MIN(C60+D60,Plan!$E$23+(Plan!$C$17+IF(C60&lt;=0,Plan!$E$23,MAX(0,Plan!$E$23-(C60+D60)))+IF(H60&lt;=0,Plan!$E$24,MAX(0,Plan!$E$24-(H60+I60)))+IF(M60&lt;=0,Plan!$E$25,MAX(0,Plan!$E$25-(M60+N60)))+IF(R60&lt;=0,Plan!$E$26,MAX(0,Plan!$E$26-(R60+S60)))+IF(W60&lt;=0,Plan!$E$27,MAX(0,Plan!$E$27-(W60+X60)))+IF(AB60&lt;=0,Plan!$E$28,MAX(0,Plan!$E$28-(AB60+AC60))))))</f>
        <v/>
      </c>
      <c r="F60" s="44">
        <f>MAX(0,C60+D60-E60)</f>
        <v/>
      </c>
      <c r="G60" s="45">
        <f>(Plan!$C$17+IF(C60&lt;=0,Plan!$E$23,MAX(0,Plan!$E$23-(C60+D60)))+IF(H60&lt;=0,Plan!$E$24,MAX(0,Plan!$E$24-(H60+I60)))+IF(M60&lt;=0,Plan!$E$25,MAX(0,Plan!$E$25-(M60+N60)))+IF(R60&lt;=0,Plan!$E$26,MAX(0,Plan!$E$26-(R60+S60)))+IF(W60&lt;=0,Plan!$E$27,MAX(0,Plan!$E$27-(W60+X60)))+IF(AB60&lt;=0,Plan!$E$28,MAX(0,Plan!$E$28-(AB60+AC60))))-IF(C60&lt;=0,0,MAX(0,E60-Plan!$E$23))</f>
        <v/>
      </c>
      <c r="H60" s="42">
        <f>K59</f>
        <v/>
      </c>
      <c r="I60" s="43">
        <f>IF(H60&gt;0,H60*Plan!$D$24/100/12,0)</f>
        <v/>
      </c>
      <c r="J60" s="42">
        <f>IF(H60&lt;=0,0,MIN(H60+I60,Plan!$E$24+G60))</f>
        <v/>
      </c>
      <c r="K60" s="44">
        <f>MAX(0,H60+I60-J60)</f>
        <v/>
      </c>
      <c r="L60" s="45">
        <f>G60-IF(H60&lt;=0,0,MAX(0,J60-Plan!$E$24))</f>
        <v/>
      </c>
      <c r="M60" s="42">
        <f>P59</f>
        <v/>
      </c>
      <c r="N60" s="43">
        <f>IF(M60&gt;0,M60*Plan!$D$25/100/12,0)</f>
        <v/>
      </c>
      <c r="O60" s="42">
        <f>IF(M60&lt;=0,0,MIN(M60+N60,Plan!$E$25+L60))</f>
        <v/>
      </c>
      <c r="P60" s="44">
        <f>MAX(0,M60+N60-O60)</f>
        <v/>
      </c>
      <c r="Q60" s="45">
        <f>L60-IF(M60&lt;=0,0,MAX(0,O60-Plan!$E$25))</f>
        <v/>
      </c>
      <c r="R60" s="42">
        <f>U59</f>
        <v/>
      </c>
      <c r="S60" s="43">
        <f>IF(R60&gt;0,R60*Plan!$D$26/100/12,0)</f>
        <v/>
      </c>
      <c r="T60" s="42">
        <f>IF(R60&lt;=0,0,MIN(R60+S60,Plan!$E$26+Q60))</f>
        <v/>
      </c>
      <c r="U60" s="44">
        <f>MAX(0,R60+S60-T60)</f>
        <v/>
      </c>
      <c r="V60" s="45">
        <f>Q60-IF(R60&lt;=0,0,MAX(0,T60-Plan!$E$26))</f>
        <v/>
      </c>
      <c r="W60" s="42">
        <f>Z59</f>
        <v/>
      </c>
      <c r="X60" s="43">
        <f>IF(W60&gt;0,W60*Plan!$D$27/100/12,0)</f>
        <v/>
      </c>
      <c r="Y60" s="42">
        <f>IF(W60&lt;=0,0,MIN(W60+X60,Plan!$E$27+V60))</f>
        <v/>
      </c>
      <c r="Z60" s="44">
        <f>MAX(0,W60+X60-Y60)</f>
        <v/>
      </c>
      <c r="AA60" s="45">
        <f>V60-IF(W60&lt;=0,0,MAX(0,Y60-Plan!$E$27))</f>
        <v/>
      </c>
      <c r="AB60" s="42">
        <f>AE59</f>
        <v/>
      </c>
      <c r="AC60" s="43">
        <f>IF(AB60&gt;0,AB60*Plan!$D$28/100/12,0)</f>
        <v/>
      </c>
      <c r="AD60" s="42">
        <f>IF(AB60&lt;=0,0,MIN(AB60+AC60,Plan!$E$28+AA60))</f>
        <v/>
      </c>
      <c r="AE60" s="44">
        <f>MAX(0,AB60+AC60-AD60)</f>
        <v/>
      </c>
      <c r="AF60" s="45">
        <f>AA60-IF(AB60&lt;=0,0,MAX(0,AD60-Plan!$E$28))</f>
        <v/>
      </c>
      <c r="AG60" s="44">
        <f>F60+K60+P60+U60+Z60+AE60</f>
        <v/>
      </c>
    </row>
    <row r="61">
      <c r="A61" s="46" t="n">
        <v>54</v>
      </c>
      <c r="B61" s="47">
        <f>EDATE(Plan!$C$18,53)</f>
        <v/>
      </c>
      <c r="C61" s="48">
        <f>F60</f>
        <v/>
      </c>
      <c r="D61" s="49">
        <f>IF(C61&gt;0,C61*Plan!$D$23/100/12,0)</f>
        <v/>
      </c>
      <c r="E61" s="48">
        <f>IF(C61&lt;=0,0,MIN(C61+D61,Plan!$E$23+(Plan!$C$17+IF(C61&lt;=0,Plan!$E$23,MAX(0,Plan!$E$23-(C61+D61)))+IF(H61&lt;=0,Plan!$E$24,MAX(0,Plan!$E$24-(H61+I61)))+IF(M61&lt;=0,Plan!$E$25,MAX(0,Plan!$E$25-(M61+N61)))+IF(R61&lt;=0,Plan!$E$26,MAX(0,Plan!$E$26-(R61+S61)))+IF(W61&lt;=0,Plan!$E$27,MAX(0,Plan!$E$27-(W61+X61)))+IF(AB61&lt;=0,Plan!$E$28,MAX(0,Plan!$E$28-(AB61+AC61))))))</f>
        <v/>
      </c>
      <c r="F61" s="50">
        <f>MAX(0,C61+D61-E61)</f>
        <v/>
      </c>
      <c r="G61" s="51">
        <f>(Plan!$C$17+IF(C61&lt;=0,Plan!$E$23,MAX(0,Plan!$E$23-(C61+D61)))+IF(H61&lt;=0,Plan!$E$24,MAX(0,Plan!$E$24-(H61+I61)))+IF(M61&lt;=0,Plan!$E$25,MAX(0,Plan!$E$25-(M61+N61)))+IF(R61&lt;=0,Plan!$E$26,MAX(0,Plan!$E$26-(R61+S61)))+IF(W61&lt;=0,Plan!$E$27,MAX(0,Plan!$E$27-(W61+X61)))+IF(AB61&lt;=0,Plan!$E$28,MAX(0,Plan!$E$28-(AB61+AC61))))-IF(C61&lt;=0,0,MAX(0,E61-Plan!$E$23))</f>
        <v/>
      </c>
      <c r="H61" s="48">
        <f>K60</f>
        <v/>
      </c>
      <c r="I61" s="49">
        <f>IF(H61&gt;0,H61*Plan!$D$24/100/12,0)</f>
        <v/>
      </c>
      <c r="J61" s="48">
        <f>IF(H61&lt;=0,0,MIN(H61+I61,Plan!$E$24+G61))</f>
        <v/>
      </c>
      <c r="K61" s="50">
        <f>MAX(0,H61+I61-J61)</f>
        <v/>
      </c>
      <c r="L61" s="51">
        <f>G61-IF(H61&lt;=0,0,MAX(0,J61-Plan!$E$24))</f>
        <v/>
      </c>
      <c r="M61" s="48">
        <f>P60</f>
        <v/>
      </c>
      <c r="N61" s="49">
        <f>IF(M61&gt;0,M61*Plan!$D$25/100/12,0)</f>
        <v/>
      </c>
      <c r="O61" s="48">
        <f>IF(M61&lt;=0,0,MIN(M61+N61,Plan!$E$25+L61))</f>
        <v/>
      </c>
      <c r="P61" s="50">
        <f>MAX(0,M61+N61-O61)</f>
        <v/>
      </c>
      <c r="Q61" s="51">
        <f>L61-IF(M61&lt;=0,0,MAX(0,O61-Plan!$E$25))</f>
        <v/>
      </c>
      <c r="R61" s="48">
        <f>U60</f>
        <v/>
      </c>
      <c r="S61" s="49">
        <f>IF(R61&gt;0,R61*Plan!$D$26/100/12,0)</f>
        <v/>
      </c>
      <c r="T61" s="48">
        <f>IF(R61&lt;=0,0,MIN(R61+S61,Plan!$E$26+Q61))</f>
        <v/>
      </c>
      <c r="U61" s="50">
        <f>MAX(0,R61+S61-T61)</f>
        <v/>
      </c>
      <c r="V61" s="51">
        <f>Q61-IF(R61&lt;=0,0,MAX(0,T61-Plan!$E$26))</f>
        <v/>
      </c>
      <c r="W61" s="48">
        <f>Z60</f>
        <v/>
      </c>
      <c r="X61" s="49">
        <f>IF(W61&gt;0,W61*Plan!$D$27/100/12,0)</f>
        <v/>
      </c>
      <c r="Y61" s="48">
        <f>IF(W61&lt;=0,0,MIN(W61+X61,Plan!$E$27+V61))</f>
        <v/>
      </c>
      <c r="Z61" s="50">
        <f>MAX(0,W61+X61-Y61)</f>
        <v/>
      </c>
      <c r="AA61" s="51">
        <f>V61-IF(W61&lt;=0,0,MAX(0,Y61-Plan!$E$27))</f>
        <v/>
      </c>
      <c r="AB61" s="48">
        <f>AE60</f>
        <v/>
      </c>
      <c r="AC61" s="49">
        <f>IF(AB61&gt;0,AB61*Plan!$D$28/100/12,0)</f>
        <v/>
      </c>
      <c r="AD61" s="48">
        <f>IF(AB61&lt;=0,0,MIN(AB61+AC61,Plan!$E$28+AA61))</f>
        <v/>
      </c>
      <c r="AE61" s="50">
        <f>MAX(0,AB61+AC61-AD61)</f>
        <v/>
      </c>
      <c r="AF61" s="51">
        <f>AA61-IF(AB61&lt;=0,0,MAX(0,AD61-Plan!$E$28))</f>
        <v/>
      </c>
      <c r="AG61" s="50">
        <f>F61+K61+P61+U61+Z61+AE61</f>
        <v/>
      </c>
    </row>
    <row r="62">
      <c r="A62" s="40" t="n">
        <v>55</v>
      </c>
      <c r="B62" s="41">
        <f>EDATE(Plan!$C$18,54)</f>
        <v/>
      </c>
      <c r="C62" s="42">
        <f>F61</f>
        <v/>
      </c>
      <c r="D62" s="43">
        <f>IF(C62&gt;0,C62*Plan!$D$23/100/12,0)</f>
        <v/>
      </c>
      <c r="E62" s="42">
        <f>IF(C62&lt;=0,0,MIN(C62+D62,Plan!$E$23+(Plan!$C$17+IF(C62&lt;=0,Plan!$E$23,MAX(0,Plan!$E$23-(C62+D62)))+IF(H62&lt;=0,Plan!$E$24,MAX(0,Plan!$E$24-(H62+I62)))+IF(M62&lt;=0,Plan!$E$25,MAX(0,Plan!$E$25-(M62+N62)))+IF(R62&lt;=0,Plan!$E$26,MAX(0,Plan!$E$26-(R62+S62)))+IF(W62&lt;=0,Plan!$E$27,MAX(0,Plan!$E$27-(W62+X62)))+IF(AB62&lt;=0,Plan!$E$28,MAX(0,Plan!$E$28-(AB62+AC62))))))</f>
        <v/>
      </c>
      <c r="F62" s="44">
        <f>MAX(0,C62+D62-E62)</f>
        <v/>
      </c>
      <c r="G62" s="45">
        <f>(Plan!$C$17+IF(C62&lt;=0,Plan!$E$23,MAX(0,Plan!$E$23-(C62+D62)))+IF(H62&lt;=0,Plan!$E$24,MAX(0,Plan!$E$24-(H62+I62)))+IF(M62&lt;=0,Plan!$E$25,MAX(0,Plan!$E$25-(M62+N62)))+IF(R62&lt;=0,Plan!$E$26,MAX(0,Plan!$E$26-(R62+S62)))+IF(W62&lt;=0,Plan!$E$27,MAX(0,Plan!$E$27-(W62+X62)))+IF(AB62&lt;=0,Plan!$E$28,MAX(0,Plan!$E$28-(AB62+AC62))))-IF(C62&lt;=0,0,MAX(0,E62-Plan!$E$23))</f>
        <v/>
      </c>
      <c r="H62" s="42">
        <f>K61</f>
        <v/>
      </c>
      <c r="I62" s="43">
        <f>IF(H62&gt;0,H62*Plan!$D$24/100/12,0)</f>
        <v/>
      </c>
      <c r="J62" s="42">
        <f>IF(H62&lt;=0,0,MIN(H62+I62,Plan!$E$24+G62))</f>
        <v/>
      </c>
      <c r="K62" s="44">
        <f>MAX(0,H62+I62-J62)</f>
        <v/>
      </c>
      <c r="L62" s="45">
        <f>G62-IF(H62&lt;=0,0,MAX(0,J62-Plan!$E$24))</f>
        <v/>
      </c>
      <c r="M62" s="42">
        <f>P61</f>
        <v/>
      </c>
      <c r="N62" s="43">
        <f>IF(M62&gt;0,M62*Plan!$D$25/100/12,0)</f>
        <v/>
      </c>
      <c r="O62" s="42">
        <f>IF(M62&lt;=0,0,MIN(M62+N62,Plan!$E$25+L62))</f>
        <v/>
      </c>
      <c r="P62" s="44">
        <f>MAX(0,M62+N62-O62)</f>
        <v/>
      </c>
      <c r="Q62" s="45">
        <f>L62-IF(M62&lt;=0,0,MAX(0,O62-Plan!$E$25))</f>
        <v/>
      </c>
      <c r="R62" s="42">
        <f>U61</f>
        <v/>
      </c>
      <c r="S62" s="43">
        <f>IF(R62&gt;0,R62*Plan!$D$26/100/12,0)</f>
        <v/>
      </c>
      <c r="T62" s="42">
        <f>IF(R62&lt;=0,0,MIN(R62+S62,Plan!$E$26+Q62))</f>
        <v/>
      </c>
      <c r="U62" s="44">
        <f>MAX(0,R62+S62-T62)</f>
        <v/>
      </c>
      <c r="V62" s="45">
        <f>Q62-IF(R62&lt;=0,0,MAX(0,T62-Plan!$E$26))</f>
        <v/>
      </c>
      <c r="W62" s="42">
        <f>Z61</f>
        <v/>
      </c>
      <c r="X62" s="43">
        <f>IF(W62&gt;0,W62*Plan!$D$27/100/12,0)</f>
        <v/>
      </c>
      <c r="Y62" s="42">
        <f>IF(W62&lt;=0,0,MIN(W62+X62,Plan!$E$27+V62))</f>
        <v/>
      </c>
      <c r="Z62" s="44">
        <f>MAX(0,W62+X62-Y62)</f>
        <v/>
      </c>
      <c r="AA62" s="45">
        <f>V62-IF(W62&lt;=0,0,MAX(0,Y62-Plan!$E$27))</f>
        <v/>
      </c>
      <c r="AB62" s="42">
        <f>AE61</f>
        <v/>
      </c>
      <c r="AC62" s="43">
        <f>IF(AB62&gt;0,AB62*Plan!$D$28/100/12,0)</f>
        <v/>
      </c>
      <c r="AD62" s="42">
        <f>IF(AB62&lt;=0,0,MIN(AB62+AC62,Plan!$E$28+AA62))</f>
        <v/>
      </c>
      <c r="AE62" s="44">
        <f>MAX(0,AB62+AC62-AD62)</f>
        <v/>
      </c>
      <c r="AF62" s="45">
        <f>AA62-IF(AB62&lt;=0,0,MAX(0,AD62-Plan!$E$28))</f>
        <v/>
      </c>
      <c r="AG62" s="44">
        <f>F62+K62+P62+U62+Z62+AE62</f>
        <v/>
      </c>
    </row>
    <row r="63">
      <c r="A63" s="46" t="n">
        <v>56</v>
      </c>
      <c r="B63" s="47">
        <f>EDATE(Plan!$C$18,55)</f>
        <v/>
      </c>
      <c r="C63" s="48">
        <f>F62</f>
        <v/>
      </c>
      <c r="D63" s="49">
        <f>IF(C63&gt;0,C63*Plan!$D$23/100/12,0)</f>
        <v/>
      </c>
      <c r="E63" s="48">
        <f>IF(C63&lt;=0,0,MIN(C63+D63,Plan!$E$23+(Plan!$C$17+IF(C63&lt;=0,Plan!$E$23,MAX(0,Plan!$E$23-(C63+D63)))+IF(H63&lt;=0,Plan!$E$24,MAX(0,Plan!$E$24-(H63+I63)))+IF(M63&lt;=0,Plan!$E$25,MAX(0,Plan!$E$25-(M63+N63)))+IF(R63&lt;=0,Plan!$E$26,MAX(0,Plan!$E$26-(R63+S63)))+IF(W63&lt;=0,Plan!$E$27,MAX(0,Plan!$E$27-(W63+X63)))+IF(AB63&lt;=0,Plan!$E$28,MAX(0,Plan!$E$28-(AB63+AC63))))))</f>
        <v/>
      </c>
      <c r="F63" s="50">
        <f>MAX(0,C63+D63-E63)</f>
        <v/>
      </c>
      <c r="G63" s="51">
        <f>(Plan!$C$17+IF(C63&lt;=0,Plan!$E$23,MAX(0,Plan!$E$23-(C63+D63)))+IF(H63&lt;=0,Plan!$E$24,MAX(0,Plan!$E$24-(H63+I63)))+IF(M63&lt;=0,Plan!$E$25,MAX(0,Plan!$E$25-(M63+N63)))+IF(R63&lt;=0,Plan!$E$26,MAX(0,Plan!$E$26-(R63+S63)))+IF(W63&lt;=0,Plan!$E$27,MAX(0,Plan!$E$27-(W63+X63)))+IF(AB63&lt;=0,Plan!$E$28,MAX(0,Plan!$E$28-(AB63+AC63))))-IF(C63&lt;=0,0,MAX(0,E63-Plan!$E$23))</f>
        <v/>
      </c>
      <c r="H63" s="48">
        <f>K62</f>
        <v/>
      </c>
      <c r="I63" s="49">
        <f>IF(H63&gt;0,H63*Plan!$D$24/100/12,0)</f>
        <v/>
      </c>
      <c r="J63" s="48">
        <f>IF(H63&lt;=0,0,MIN(H63+I63,Plan!$E$24+G63))</f>
        <v/>
      </c>
      <c r="K63" s="50">
        <f>MAX(0,H63+I63-J63)</f>
        <v/>
      </c>
      <c r="L63" s="51">
        <f>G63-IF(H63&lt;=0,0,MAX(0,J63-Plan!$E$24))</f>
        <v/>
      </c>
      <c r="M63" s="48">
        <f>P62</f>
        <v/>
      </c>
      <c r="N63" s="49">
        <f>IF(M63&gt;0,M63*Plan!$D$25/100/12,0)</f>
        <v/>
      </c>
      <c r="O63" s="48">
        <f>IF(M63&lt;=0,0,MIN(M63+N63,Plan!$E$25+L63))</f>
        <v/>
      </c>
      <c r="P63" s="50">
        <f>MAX(0,M63+N63-O63)</f>
        <v/>
      </c>
      <c r="Q63" s="51">
        <f>L63-IF(M63&lt;=0,0,MAX(0,O63-Plan!$E$25))</f>
        <v/>
      </c>
      <c r="R63" s="48">
        <f>U62</f>
        <v/>
      </c>
      <c r="S63" s="49">
        <f>IF(R63&gt;0,R63*Plan!$D$26/100/12,0)</f>
        <v/>
      </c>
      <c r="T63" s="48">
        <f>IF(R63&lt;=0,0,MIN(R63+S63,Plan!$E$26+Q63))</f>
        <v/>
      </c>
      <c r="U63" s="50">
        <f>MAX(0,R63+S63-T63)</f>
        <v/>
      </c>
      <c r="V63" s="51">
        <f>Q63-IF(R63&lt;=0,0,MAX(0,T63-Plan!$E$26))</f>
        <v/>
      </c>
      <c r="W63" s="48">
        <f>Z62</f>
        <v/>
      </c>
      <c r="X63" s="49">
        <f>IF(W63&gt;0,W63*Plan!$D$27/100/12,0)</f>
        <v/>
      </c>
      <c r="Y63" s="48">
        <f>IF(W63&lt;=0,0,MIN(W63+X63,Plan!$E$27+V63))</f>
        <v/>
      </c>
      <c r="Z63" s="50">
        <f>MAX(0,W63+X63-Y63)</f>
        <v/>
      </c>
      <c r="AA63" s="51">
        <f>V63-IF(W63&lt;=0,0,MAX(0,Y63-Plan!$E$27))</f>
        <v/>
      </c>
      <c r="AB63" s="48">
        <f>AE62</f>
        <v/>
      </c>
      <c r="AC63" s="49">
        <f>IF(AB63&gt;0,AB63*Plan!$D$28/100/12,0)</f>
        <v/>
      </c>
      <c r="AD63" s="48">
        <f>IF(AB63&lt;=0,0,MIN(AB63+AC63,Plan!$E$28+AA63))</f>
        <v/>
      </c>
      <c r="AE63" s="50">
        <f>MAX(0,AB63+AC63-AD63)</f>
        <v/>
      </c>
      <c r="AF63" s="51">
        <f>AA63-IF(AB63&lt;=0,0,MAX(0,AD63-Plan!$E$28))</f>
        <v/>
      </c>
      <c r="AG63" s="50">
        <f>F63+K63+P63+U63+Z63+AE63</f>
        <v/>
      </c>
    </row>
    <row r="64">
      <c r="A64" s="40" t="n">
        <v>57</v>
      </c>
      <c r="B64" s="41">
        <f>EDATE(Plan!$C$18,56)</f>
        <v/>
      </c>
      <c r="C64" s="42">
        <f>F63</f>
        <v/>
      </c>
      <c r="D64" s="43">
        <f>IF(C64&gt;0,C64*Plan!$D$23/100/12,0)</f>
        <v/>
      </c>
      <c r="E64" s="42">
        <f>IF(C64&lt;=0,0,MIN(C64+D64,Plan!$E$23+(Plan!$C$17+IF(C64&lt;=0,Plan!$E$23,MAX(0,Plan!$E$23-(C64+D64)))+IF(H64&lt;=0,Plan!$E$24,MAX(0,Plan!$E$24-(H64+I64)))+IF(M64&lt;=0,Plan!$E$25,MAX(0,Plan!$E$25-(M64+N64)))+IF(R64&lt;=0,Plan!$E$26,MAX(0,Plan!$E$26-(R64+S64)))+IF(W64&lt;=0,Plan!$E$27,MAX(0,Plan!$E$27-(W64+X64)))+IF(AB64&lt;=0,Plan!$E$28,MAX(0,Plan!$E$28-(AB64+AC64))))))</f>
        <v/>
      </c>
      <c r="F64" s="44">
        <f>MAX(0,C64+D64-E64)</f>
        <v/>
      </c>
      <c r="G64" s="45">
        <f>(Plan!$C$17+IF(C64&lt;=0,Plan!$E$23,MAX(0,Plan!$E$23-(C64+D64)))+IF(H64&lt;=0,Plan!$E$24,MAX(0,Plan!$E$24-(H64+I64)))+IF(M64&lt;=0,Plan!$E$25,MAX(0,Plan!$E$25-(M64+N64)))+IF(R64&lt;=0,Plan!$E$26,MAX(0,Plan!$E$26-(R64+S64)))+IF(W64&lt;=0,Plan!$E$27,MAX(0,Plan!$E$27-(W64+X64)))+IF(AB64&lt;=0,Plan!$E$28,MAX(0,Plan!$E$28-(AB64+AC64))))-IF(C64&lt;=0,0,MAX(0,E64-Plan!$E$23))</f>
        <v/>
      </c>
      <c r="H64" s="42">
        <f>K63</f>
        <v/>
      </c>
      <c r="I64" s="43">
        <f>IF(H64&gt;0,H64*Plan!$D$24/100/12,0)</f>
        <v/>
      </c>
      <c r="J64" s="42">
        <f>IF(H64&lt;=0,0,MIN(H64+I64,Plan!$E$24+G64))</f>
        <v/>
      </c>
      <c r="K64" s="44">
        <f>MAX(0,H64+I64-J64)</f>
        <v/>
      </c>
      <c r="L64" s="45">
        <f>G64-IF(H64&lt;=0,0,MAX(0,J64-Plan!$E$24))</f>
        <v/>
      </c>
      <c r="M64" s="42">
        <f>P63</f>
        <v/>
      </c>
      <c r="N64" s="43">
        <f>IF(M64&gt;0,M64*Plan!$D$25/100/12,0)</f>
        <v/>
      </c>
      <c r="O64" s="42">
        <f>IF(M64&lt;=0,0,MIN(M64+N64,Plan!$E$25+L64))</f>
        <v/>
      </c>
      <c r="P64" s="44">
        <f>MAX(0,M64+N64-O64)</f>
        <v/>
      </c>
      <c r="Q64" s="45">
        <f>L64-IF(M64&lt;=0,0,MAX(0,O64-Plan!$E$25))</f>
        <v/>
      </c>
      <c r="R64" s="42">
        <f>U63</f>
        <v/>
      </c>
      <c r="S64" s="43">
        <f>IF(R64&gt;0,R64*Plan!$D$26/100/12,0)</f>
        <v/>
      </c>
      <c r="T64" s="42">
        <f>IF(R64&lt;=0,0,MIN(R64+S64,Plan!$E$26+Q64))</f>
        <v/>
      </c>
      <c r="U64" s="44">
        <f>MAX(0,R64+S64-T64)</f>
        <v/>
      </c>
      <c r="V64" s="45">
        <f>Q64-IF(R64&lt;=0,0,MAX(0,T64-Plan!$E$26))</f>
        <v/>
      </c>
      <c r="W64" s="42">
        <f>Z63</f>
        <v/>
      </c>
      <c r="X64" s="43">
        <f>IF(W64&gt;0,W64*Plan!$D$27/100/12,0)</f>
        <v/>
      </c>
      <c r="Y64" s="42">
        <f>IF(W64&lt;=0,0,MIN(W64+X64,Plan!$E$27+V64))</f>
        <v/>
      </c>
      <c r="Z64" s="44">
        <f>MAX(0,W64+X64-Y64)</f>
        <v/>
      </c>
      <c r="AA64" s="45">
        <f>V64-IF(W64&lt;=0,0,MAX(0,Y64-Plan!$E$27))</f>
        <v/>
      </c>
      <c r="AB64" s="42">
        <f>AE63</f>
        <v/>
      </c>
      <c r="AC64" s="43">
        <f>IF(AB64&gt;0,AB64*Plan!$D$28/100/12,0)</f>
        <v/>
      </c>
      <c r="AD64" s="42">
        <f>IF(AB64&lt;=0,0,MIN(AB64+AC64,Plan!$E$28+AA64))</f>
        <v/>
      </c>
      <c r="AE64" s="44">
        <f>MAX(0,AB64+AC64-AD64)</f>
        <v/>
      </c>
      <c r="AF64" s="45">
        <f>AA64-IF(AB64&lt;=0,0,MAX(0,AD64-Plan!$E$28))</f>
        <v/>
      </c>
      <c r="AG64" s="44">
        <f>F64+K64+P64+U64+Z64+AE64</f>
        <v/>
      </c>
    </row>
    <row r="65">
      <c r="A65" s="46" t="n">
        <v>58</v>
      </c>
      <c r="B65" s="47">
        <f>EDATE(Plan!$C$18,57)</f>
        <v/>
      </c>
      <c r="C65" s="48">
        <f>F64</f>
        <v/>
      </c>
      <c r="D65" s="49">
        <f>IF(C65&gt;0,C65*Plan!$D$23/100/12,0)</f>
        <v/>
      </c>
      <c r="E65" s="48">
        <f>IF(C65&lt;=0,0,MIN(C65+D65,Plan!$E$23+(Plan!$C$17+IF(C65&lt;=0,Plan!$E$23,MAX(0,Plan!$E$23-(C65+D65)))+IF(H65&lt;=0,Plan!$E$24,MAX(0,Plan!$E$24-(H65+I65)))+IF(M65&lt;=0,Plan!$E$25,MAX(0,Plan!$E$25-(M65+N65)))+IF(R65&lt;=0,Plan!$E$26,MAX(0,Plan!$E$26-(R65+S65)))+IF(W65&lt;=0,Plan!$E$27,MAX(0,Plan!$E$27-(W65+X65)))+IF(AB65&lt;=0,Plan!$E$28,MAX(0,Plan!$E$28-(AB65+AC65))))))</f>
        <v/>
      </c>
      <c r="F65" s="50">
        <f>MAX(0,C65+D65-E65)</f>
        <v/>
      </c>
      <c r="G65" s="51">
        <f>(Plan!$C$17+IF(C65&lt;=0,Plan!$E$23,MAX(0,Plan!$E$23-(C65+D65)))+IF(H65&lt;=0,Plan!$E$24,MAX(0,Plan!$E$24-(H65+I65)))+IF(M65&lt;=0,Plan!$E$25,MAX(0,Plan!$E$25-(M65+N65)))+IF(R65&lt;=0,Plan!$E$26,MAX(0,Plan!$E$26-(R65+S65)))+IF(W65&lt;=0,Plan!$E$27,MAX(0,Plan!$E$27-(W65+X65)))+IF(AB65&lt;=0,Plan!$E$28,MAX(0,Plan!$E$28-(AB65+AC65))))-IF(C65&lt;=0,0,MAX(0,E65-Plan!$E$23))</f>
        <v/>
      </c>
      <c r="H65" s="48">
        <f>K64</f>
        <v/>
      </c>
      <c r="I65" s="49">
        <f>IF(H65&gt;0,H65*Plan!$D$24/100/12,0)</f>
        <v/>
      </c>
      <c r="J65" s="48">
        <f>IF(H65&lt;=0,0,MIN(H65+I65,Plan!$E$24+G65))</f>
        <v/>
      </c>
      <c r="K65" s="50">
        <f>MAX(0,H65+I65-J65)</f>
        <v/>
      </c>
      <c r="L65" s="51">
        <f>G65-IF(H65&lt;=0,0,MAX(0,J65-Plan!$E$24))</f>
        <v/>
      </c>
      <c r="M65" s="48">
        <f>P64</f>
        <v/>
      </c>
      <c r="N65" s="49">
        <f>IF(M65&gt;0,M65*Plan!$D$25/100/12,0)</f>
        <v/>
      </c>
      <c r="O65" s="48">
        <f>IF(M65&lt;=0,0,MIN(M65+N65,Plan!$E$25+L65))</f>
        <v/>
      </c>
      <c r="P65" s="50">
        <f>MAX(0,M65+N65-O65)</f>
        <v/>
      </c>
      <c r="Q65" s="51">
        <f>L65-IF(M65&lt;=0,0,MAX(0,O65-Plan!$E$25))</f>
        <v/>
      </c>
      <c r="R65" s="48">
        <f>U64</f>
        <v/>
      </c>
      <c r="S65" s="49">
        <f>IF(R65&gt;0,R65*Plan!$D$26/100/12,0)</f>
        <v/>
      </c>
      <c r="T65" s="48">
        <f>IF(R65&lt;=0,0,MIN(R65+S65,Plan!$E$26+Q65))</f>
        <v/>
      </c>
      <c r="U65" s="50">
        <f>MAX(0,R65+S65-T65)</f>
        <v/>
      </c>
      <c r="V65" s="51">
        <f>Q65-IF(R65&lt;=0,0,MAX(0,T65-Plan!$E$26))</f>
        <v/>
      </c>
      <c r="W65" s="48">
        <f>Z64</f>
        <v/>
      </c>
      <c r="X65" s="49">
        <f>IF(W65&gt;0,W65*Plan!$D$27/100/12,0)</f>
        <v/>
      </c>
      <c r="Y65" s="48">
        <f>IF(W65&lt;=0,0,MIN(W65+X65,Plan!$E$27+V65))</f>
        <v/>
      </c>
      <c r="Z65" s="50">
        <f>MAX(0,W65+X65-Y65)</f>
        <v/>
      </c>
      <c r="AA65" s="51">
        <f>V65-IF(W65&lt;=0,0,MAX(0,Y65-Plan!$E$27))</f>
        <v/>
      </c>
      <c r="AB65" s="48">
        <f>AE64</f>
        <v/>
      </c>
      <c r="AC65" s="49">
        <f>IF(AB65&gt;0,AB65*Plan!$D$28/100/12,0)</f>
        <v/>
      </c>
      <c r="AD65" s="48">
        <f>IF(AB65&lt;=0,0,MIN(AB65+AC65,Plan!$E$28+AA65))</f>
        <v/>
      </c>
      <c r="AE65" s="50">
        <f>MAX(0,AB65+AC65-AD65)</f>
        <v/>
      </c>
      <c r="AF65" s="51">
        <f>AA65-IF(AB65&lt;=0,0,MAX(0,AD65-Plan!$E$28))</f>
        <v/>
      </c>
      <c r="AG65" s="50">
        <f>F65+K65+P65+U65+Z65+AE65</f>
        <v/>
      </c>
    </row>
    <row r="66">
      <c r="A66" s="40" t="n">
        <v>59</v>
      </c>
      <c r="B66" s="41">
        <f>EDATE(Plan!$C$18,58)</f>
        <v/>
      </c>
      <c r="C66" s="42">
        <f>F65</f>
        <v/>
      </c>
      <c r="D66" s="43">
        <f>IF(C66&gt;0,C66*Plan!$D$23/100/12,0)</f>
        <v/>
      </c>
      <c r="E66" s="42">
        <f>IF(C66&lt;=0,0,MIN(C66+D66,Plan!$E$23+(Plan!$C$17+IF(C66&lt;=0,Plan!$E$23,MAX(0,Plan!$E$23-(C66+D66)))+IF(H66&lt;=0,Plan!$E$24,MAX(0,Plan!$E$24-(H66+I66)))+IF(M66&lt;=0,Plan!$E$25,MAX(0,Plan!$E$25-(M66+N66)))+IF(R66&lt;=0,Plan!$E$26,MAX(0,Plan!$E$26-(R66+S66)))+IF(W66&lt;=0,Plan!$E$27,MAX(0,Plan!$E$27-(W66+X66)))+IF(AB66&lt;=0,Plan!$E$28,MAX(0,Plan!$E$28-(AB66+AC66))))))</f>
        <v/>
      </c>
      <c r="F66" s="44">
        <f>MAX(0,C66+D66-E66)</f>
        <v/>
      </c>
      <c r="G66" s="45">
        <f>(Plan!$C$17+IF(C66&lt;=0,Plan!$E$23,MAX(0,Plan!$E$23-(C66+D66)))+IF(H66&lt;=0,Plan!$E$24,MAX(0,Plan!$E$24-(H66+I66)))+IF(M66&lt;=0,Plan!$E$25,MAX(0,Plan!$E$25-(M66+N66)))+IF(R66&lt;=0,Plan!$E$26,MAX(0,Plan!$E$26-(R66+S66)))+IF(W66&lt;=0,Plan!$E$27,MAX(0,Plan!$E$27-(W66+X66)))+IF(AB66&lt;=0,Plan!$E$28,MAX(0,Plan!$E$28-(AB66+AC66))))-IF(C66&lt;=0,0,MAX(0,E66-Plan!$E$23))</f>
        <v/>
      </c>
      <c r="H66" s="42">
        <f>K65</f>
        <v/>
      </c>
      <c r="I66" s="43">
        <f>IF(H66&gt;0,H66*Plan!$D$24/100/12,0)</f>
        <v/>
      </c>
      <c r="J66" s="42">
        <f>IF(H66&lt;=0,0,MIN(H66+I66,Plan!$E$24+G66))</f>
        <v/>
      </c>
      <c r="K66" s="44">
        <f>MAX(0,H66+I66-J66)</f>
        <v/>
      </c>
      <c r="L66" s="45">
        <f>G66-IF(H66&lt;=0,0,MAX(0,J66-Plan!$E$24))</f>
        <v/>
      </c>
      <c r="M66" s="42">
        <f>P65</f>
        <v/>
      </c>
      <c r="N66" s="43">
        <f>IF(M66&gt;0,M66*Plan!$D$25/100/12,0)</f>
        <v/>
      </c>
      <c r="O66" s="42">
        <f>IF(M66&lt;=0,0,MIN(M66+N66,Plan!$E$25+L66))</f>
        <v/>
      </c>
      <c r="P66" s="44">
        <f>MAX(0,M66+N66-O66)</f>
        <v/>
      </c>
      <c r="Q66" s="45">
        <f>L66-IF(M66&lt;=0,0,MAX(0,O66-Plan!$E$25))</f>
        <v/>
      </c>
      <c r="R66" s="42">
        <f>U65</f>
        <v/>
      </c>
      <c r="S66" s="43">
        <f>IF(R66&gt;0,R66*Plan!$D$26/100/12,0)</f>
        <v/>
      </c>
      <c r="T66" s="42">
        <f>IF(R66&lt;=0,0,MIN(R66+S66,Plan!$E$26+Q66))</f>
        <v/>
      </c>
      <c r="U66" s="44">
        <f>MAX(0,R66+S66-T66)</f>
        <v/>
      </c>
      <c r="V66" s="45">
        <f>Q66-IF(R66&lt;=0,0,MAX(0,T66-Plan!$E$26))</f>
        <v/>
      </c>
      <c r="W66" s="42">
        <f>Z65</f>
        <v/>
      </c>
      <c r="X66" s="43">
        <f>IF(W66&gt;0,W66*Plan!$D$27/100/12,0)</f>
        <v/>
      </c>
      <c r="Y66" s="42">
        <f>IF(W66&lt;=0,0,MIN(W66+X66,Plan!$E$27+V66))</f>
        <v/>
      </c>
      <c r="Z66" s="44">
        <f>MAX(0,W66+X66-Y66)</f>
        <v/>
      </c>
      <c r="AA66" s="45">
        <f>V66-IF(W66&lt;=0,0,MAX(0,Y66-Plan!$E$27))</f>
        <v/>
      </c>
      <c r="AB66" s="42">
        <f>AE65</f>
        <v/>
      </c>
      <c r="AC66" s="43">
        <f>IF(AB66&gt;0,AB66*Plan!$D$28/100/12,0)</f>
        <v/>
      </c>
      <c r="AD66" s="42">
        <f>IF(AB66&lt;=0,0,MIN(AB66+AC66,Plan!$E$28+AA66))</f>
        <v/>
      </c>
      <c r="AE66" s="44">
        <f>MAX(0,AB66+AC66-AD66)</f>
        <v/>
      </c>
      <c r="AF66" s="45">
        <f>AA66-IF(AB66&lt;=0,0,MAX(0,AD66-Plan!$E$28))</f>
        <v/>
      </c>
      <c r="AG66" s="44">
        <f>F66+K66+P66+U66+Z66+AE66</f>
        <v/>
      </c>
    </row>
    <row r="67">
      <c r="A67" s="46" t="n">
        <v>60</v>
      </c>
      <c r="B67" s="47">
        <f>EDATE(Plan!$C$18,59)</f>
        <v/>
      </c>
      <c r="C67" s="48">
        <f>F66</f>
        <v/>
      </c>
      <c r="D67" s="49">
        <f>IF(C67&gt;0,C67*Plan!$D$23/100/12,0)</f>
        <v/>
      </c>
      <c r="E67" s="48">
        <f>IF(C67&lt;=0,0,MIN(C67+D67,Plan!$E$23+(Plan!$C$17+IF(C67&lt;=0,Plan!$E$23,MAX(0,Plan!$E$23-(C67+D67)))+IF(H67&lt;=0,Plan!$E$24,MAX(0,Plan!$E$24-(H67+I67)))+IF(M67&lt;=0,Plan!$E$25,MAX(0,Plan!$E$25-(M67+N67)))+IF(R67&lt;=0,Plan!$E$26,MAX(0,Plan!$E$26-(R67+S67)))+IF(W67&lt;=0,Plan!$E$27,MAX(0,Plan!$E$27-(W67+X67)))+IF(AB67&lt;=0,Plan!$E$28,MAX(0,Plan!$E$28-(AB67+AC67))))))</f>
        <v/>
      </c>
      <c r="F67" s="50">
        <f>MAX(0,C67+D67-E67)</f>
        <v/>
      </c>
      <c r="G67" s="51">
        <f>(Plan!$C$17+IF(C67&lt;=0,Plan!$E$23,MAX(0,Plan!$E$23-(C67+D67)))+IF(H67&lt;=0,Plan!$E$24,MAX(0,Plan!$E$24-(H67+I67)))+IF(M67&lt;=0,Plan!$E$25,MAX(0,Plan!$E$25-(M67+N67)))+IF(R67&lt;=0,Plan!$E$26,MAX(0,Plan!$E$26-(R67+S67)))+IF(W67&lt;=0,Plan!$E$27,MAX(0,Plan!$E$27-(W67+X67)))+IF(AB67&lt;=0,Plan!$E$28,MAX(0,Plan!$E$28-(AB67+AC67))))-IF(C67&lt;=0,0,MAX(0,E67-Plan!$E$23))</f>
        <v/>
      </c>
      <c r="H67" s="48">
        <f>K66</f>
        <v/>
      </c>
      <c r="I67" s="49">
        <f>IF(H67&gt;0,H67*Plan!$D$24/100/12,0)</f>
        <v/>
      </c>
      <c r="J67" s="48">
        <f>IF(H67&lt;=0,0,MIN(H67+I67,Plan!$E$24+G67))</f>
        <v/>
      </c>
      <c r="K67" s="50">
        <f>MAX(0,H67+I67-J67)</f>
        <v/>
      </c>
      <c r="L67" s="51">
        <f>G67-IF(H67&lt;=0,0,MAX(0,J67-Plan!$E$24))</f>
        <v/>
      </c>
      <c r="M67" s="48">
        <f>P66</f>
        <v/>
      </c>
      <c r="N67" s="49">
        <f>IF(M67&gt;0,M67*Plan!$D$25/100/12,0)</f>
        <v/>
      </c>
      <c r="O67" s="48">
        <f>IF(M67&lt;=0,0,MIN(M67+N67,Plan!$E$25+L67))</f>
        <v/>
      </c>
      <c r="P67" s="50">
        <f>MAX(0,M67+N67-O67)</f>
        <v/>
      </c>
      <c r="Q67" s="51">
        <f>L67-IF(M67&lt;=0,0,MAX(0,O67-Plan!$E$25))</f>
        <v/>
      </c>
      <c r="R67" s="48">
        <f>U66</f>
        <v/>
      </c>
      <c r="S67" s="49">
        <f>IF(R67&gt;0,R67*Plan!$D$26/100/12,0)</f>
        <v/>
      </c>
      <c r="T67" s="48">
        <f>IF(R67&lt;=0,0,MIN(R67+S67,Plan!$E$26+Q67))</f>
        <v/>
      </c>
      <c r="U67" s="50">
        <f>MAX(0,R67+S67-T67)</f>
        <v/>
      </c>
      <c r="V67" s="51">
        <f>Q67-IF(R67&lt;=0,0,MAX(0,T67-Plan!$E$26))</f>
        <v/>
      </c>
      <c r="W67" s="48">
        <f>Z66</f>
        <v/>
      </c>
      <c r="X67" s="49">
        <f>IF(W67&gt;0,W67*Plan!$D$27/100/12,0)</f>
        <v/>
      </c>
      <c r="Y67" s="48">
        <f>IF(W67&lt;=0,0,MIN(W67+X67,Plan!$E$27+V67))</f>
        <v/>
      </c>
      <c r="Z67" s="50">
        <f>MAX(0,W67+X67-Y67)</f>
        <v/>
      </c>
      <c r="AA67" s="51">
        <f>V67-IF(W67&lt;=0,0,MAX(0,Y67-Plan!$E$27))</f>
        <v/>
      </c>
      <c r="AB67" s="48">
        <f>AE66</f>
        <v/>
      </c>
      <c r="AC67" s="49">
        <f>IF(AB67&gt;0,AB67*Plan!$D$28/100/12,0)</f>
        <v/>
      </c>
      <c r="AD67" s="48">
        <f>IF(AB67&lt;=0,0,MIN(AB67+AC67,Plan!$E$28+AA67))</f>
        <v/>
      </c>
      <c r="AE67" s="50">
        <f>MAX(0,AB67+AC67-AD67)</f>
        <v/>
      </c>
      <c r="AF67" s="51">
        <f>AA67-IF(AB67&lt;=0,0,MAX(0,AD67-Plan!$E$28))</f>
        <v/>
      </c>
      <c r="AG67" s="50">
        <f>F67+K67+P67+U67+Z67+AE67</f>
        <v/>
      </c>
    </row>
    <row r="68">
      <c r="A68" s="40" t="n">
        <v>61</v>
      </c>
      <c r="B68" s="41">
        <f>EDATE(Plan!$C$18,60)</f>
        <v/>
      </c>
      <c r="C68" s="42">
        <f>F67</f>
        <v/>
      </c>
      <c r="D68" s="43">
        <f>IF(C68&gt;0,C68*Plan!$D$23/100/12,0)</f>
        <v/>
      </c>
      <c r="E68" s="42">
        <f>IF(C68&lt;=0,0,MIN(C68+D68,Plan!$E$23+(Plan!$C$17+IF(C68&lt;=0,Plan!$E$23,MAX(0,Plan!$E$23-(C68+D68)))+IF(H68&lt;=0,Plan!$E$24,MAX(0,Plan!$E$24-(H68+I68)))+IF(M68&lt;=0,Plan!$E$25,MAX(0,Plan!$E$25-(M68+N68)))+IF(R68&lt;=0,Plan!$E$26,MAX(0,Plan!$E$26-(R68+S68)))+IF(W68&lt;=0,Plan!$E$27,MAX(0,Plan!$E$27-(W68+X68)))+IF(AB68&lt;=0,Plan!$E$28,MAX(0,Plan!$E$28-(AB68+AC68))))))</f>
        <v/>
      </c>
      <c r="F68" s="44">
        <f>MAX(0,C68+D68-E68)</f>
        <v/>
      </c>
      <c r="G68" s="45">
        <f>(Plan!$C$17+IF(C68&lt;=0,Plan!$E$23,MAX(0,Plan!$E$23-(C68+D68)))+IF(H68&lt;=0,Plan!$E$24,MAX(0,Plan!$E$24-(H68+I68)))+IF(M68&lt;=0,Plan!$E$25,MAX(0,Plan!$E$25-(M68+N68)))+IF(R68&lt;=0,Plan!$E$26,MAX(0,Plan!$E$26-(R68+S68)))+IF(W68&lt;=0,Plan!$E$27,MAX(0,Plan!$E$27-(W68+X68)))+IF(AB68&lt;=0,Plan!$E$28,MAX(0,Plan!$E$28-(AB68+AC68))))-IF(C68&lt;=0,0,MAX(0,E68-Plan!$E$23))</f>
        <v/>
      </c>
      <c r="H68" s="42">
        <f>K67</f>
        <v/>
      </c>
      <c r="I68" s="43">
        <f>IF(H68&gt;0,H68*Plan!$D$24/100/12,0)</f>
        <v/>
      </c>
      <c r="J68" s="42">
        <f>IF(H68&lt;=0,0,MIN(H68+I68,Plan!$E$24+G68))</f>
        <v/>
      </c>
      <c r="K68" s="44">
        <f>MAX(0,H68+I68-J68)</f>
        <v/>
      </c>
      <c r="L68" s="45">
        <f>G68-IF(H68&lt;=0,0,MAX(0,J68-Plan!$E$24))</f>
        <v/>
      </c>
      <c r="M68" s="42">
        <f>P67</f>
        <v/>
      </c>
      <c r="N68" s="43">
        <f>IF(M68&gt;0,M68*Plan!$D$25/100/12,0)</f>
        <v/>
      </c>
      <c r="O68" s="42">
        <f>IF(M68&lt;=0,0,MIN(M68+N68,Plan!$E$25+L68))</f>
        <v/>
      </c>
      <c r="P68" s="44">
        <f>MAX(0,M68+N68-O68)</f>
        <v/>
      </c>
      <c r="Q68" s="45">
        <f>L68-IF(M68&lt;=0,0,MAX(0,O68-Plan!$E$25))</f>
        <v/>
      </c>
      <c r="R68" s="42">
        <f>U67</f>
        <v/>
      </c>
      <c r="S68" s="43">
        <f>IF(R68&gt;0,R68*Plan!$D$26/100/12,0)</f>
        <v/>
      </c>
      <c r="T68" s="42">
        <f>IF(R68&lt;=0,0,MIN(R68+S68,Plan!$E$26+Q68))</f>
        <v/>
      </c>
      <c r="U68" s="44">
        <f>MAX(0,R68+S68-T68)</f>
        <v/>
      </c>
      <c r="V68" s="45">
        <f>Q68-IF(R68&lt;=0,0,MAX(0,T68-Plan!$E$26))</f>
        <v/>
      </c>
      <c r="W68" s="42">
        <f>Z67</f>
        <v/>
      </c>
      <c r="X68" s="43">
        <f>IF(W68&gt;0,W68*Plan!$D$27/100/12,0)</f>
        <v/>
      </c>
      <c r="Y68" s="42">
        <f>IF(W68&lt;=0,0,MIN(W68+X68,Plan!$E$27+V68))</f>
        <v/>
      </c>
      <c r="Z68" s="44">
        <f>MAX(0,W68+X68-Y68)</f>
        <v/>
      </c>
      <c r="AA68" s="45">
        <f>V68-IF(W68&lt;=0,0,MAX(0,Y68-Plan!$E$27))</f>
        <v/>
      </c>
      <c r="AB68" s="42">
        <f>AE67</f>
        <v/>
      </c>
      <c r="AC68" s="43">
        <f>IF(AB68&gt;0,AB68*Plan!$D$28/100/12,0)</f>
        <v/>
      </c>
      <c r="AD68" s="42">
        <f>IF(AB68&lt;=0,0,MIN(AB68+AC68,Plan!$E$28+AA68))</f>
        <v/>
      </c>
      <c r="AE68" s="44">
        <f>MAX(0,AB68+AC68-AD68)</f>
        <v/>
      </c>
      <c r="AF68" s="45">
        <f>AA68-IF(AB68&lt;=0,0,MAX(0,AD68-Plan!$E$28))</f>
        <v/>
      </c>
      <c r="AG68" s="44">
        <f>F68+K68+P68+U68+Z68+AE68</f>
        <v/>
      </c>
    </row>
    <row r="69">
      <c r="A69" s="46" t="n">
        <v>62</v>
      </c>
      <c r="B69" s="47">
        <f>EDATE(Plan!$C$18,61)</f>
        <v/>
      </c>
      <c r="C69" s="48">
        <f>F68</f>
        <v/>
      </c>
      <c r="D69" s="49">
        <f>IF(C69&gt;0,C69*Plan!$D$23/100/12,0)</f>
        <v/>
      </c>
      <c r="E69" s="48">
        <f>IF(C69&lt;=0,0,MIN(C69+D69,Plan!$E$23+(Plan!$C$17+IF(C69&lt;=0,Plan!$E$23,MAX(0,Plan!$E$23-(C69+D69)))+IF(H69&lt;=0,Plan!$E$24,MAX(0,Plan!$E$24-(H69+I69)))+IF(M69&lt;=0,Plan!$E$25,MAX(0,Plan!$E$25-(M69+N69)))+IF(R69&lt;=0,Plan!$E$26,MAX(0,Plan!$E$26-(R69+S69)))+IF(W69&lt;=0,Plan!$E$27,MAX(0,Plan!$E$27-(W69+X69)))+IF(AB69&lt;=0,Plan!$E$28,MAX(0,Plan!$E$28-(AB69+AC69))))))</f>
        <v/>
      </c>
      <c r="F69" s="50">
        <f>MAX(0,C69+D69-E69)</f>
        <v/>
      </c>
      <c r="G69" s="51">
        <f>(Plan!$C$17+IF(C69&lt;=0,Plan!$E$23,MAX(0,Plan!$E$23-(C69+D69)))+IF(H69&lt;=0,Plan!$E$24,MAX(0,Plan!$E$24-(H69+I69)))+IF(M69&lt;=0,Plan!$E$25,MAX(0,Plan!$E$25-(M69+N69)))+IF(R69&lt;=0,Plan!$E$26,MAX(0,Plan!$E$26-(R69+S69)))+IF(W69&lt;=0,Plan!$E$27,MAX(0,Plan!$E$27-(W69+X69)))+IF(AB69&lt;=0,Plan!$E$28,MAX(0,Plan!$E$28-(AB69+AC69))))-IF(C69&lt;=0,0,MAX(0,E69-Plan!$E$23))</f>
        <v/>
      </c>
      <c r="H69" s="48">
        <f>K68</f>
        <v/>
      </c>
      <c r="I69" s="49">
        <f>IF(H69&gt;0,H69*Plan!$D$24/100/12,0)</f>
        <v/>
      </c>
      <c r="J69" s="48">
        <f>IF(H69&lt;=0,0,MIN(H69+I69,Plan!$E$24+G69))</f>
        <v/>
      </c>
      <c r="K69" s="50">
        <f>MAX(0,H69+I69-J69)</f>
        <v/>
      </c>
      <c r="L69" s="51">
        <f>G69-IF(H69&lt;=0,0,MAX(0,J69-Plan!$E$24))</f>
        <v/>
      </c>
      <c r="M69" s="48">
        <f>P68</f>
        <v/>
      </c>
      <c r="N69" s="49">
        <f>IF(M69&gt;0,M69*Plan!$D$25/100/12,0)</f>
        <v/>
      </c>
      <c r="O69" s="48">
        <f>IF(M69&lt;=0,0,MIN(M69+N69,Plan!$E$25+L69))</f>
        <v/>
      </c>
      <c r="P69" s="50">
        <f>MAX(0,M69+N69-O69)</f>
        <v/>
      </c>
      <c r="Q69" s="51">
        <f>L69-IF(M69&lt;=0,0,MAX(0,O69-Plan!$E$25))</f>
        <v/>
      </c>
      <c r="R69" s="48">
        <f>U68</f>
        <v/>
      </c>
      <c r="S69" s="49">
        <f>IF(R69&gt;0,R69*Plan!$D$26/100/12,0)</f>
        <v/>
      </c>
      <c r="T69" s="48">
        <f>IF(R69&lt;=0,0,MIN(R69+S69,Plan!$E$26+Q69))</f>
        <v/>
      </c>
      <c r="U69" s="50">
        <f>MAX(0,R69+S69-T69)</f>
        <v/>
      </c>
      <c r="V69" s="51">
        <f>Q69-IF(R69&lt;=0,0,MAX(0,T69-Plan!$E$26))</f>
        <v/>
      </c>
      <c r="W69" s="48">
        <f>Z68</f>
        <v/>
      </c>
      <c r="X69" s="49">
        <f>IF(W69&gt;0,W69*Plan!$D$27/100/12,0)</f>
        <v/>
      </c>
      <c r="Y69" s="48">
        <f>IF(W69&lt;=0,0,MIN(W69+X69,Plan!$E$27+V69))</f>
        <v/>
      </c>
      <c r="Z69" s="50">
        <f>MAX(0,W69+X69-Y69)</f>
        <v/>
      </c>
      <c r="AA69" s="51">
        <f>V69-IF(W69&lt;=0,0,MAX(0,Y69-Plan!$E$27))</f>
        <v/>
      </c>
      <c r="AB69" s="48">
        <f>AE68</f>
        <v/>
      </c>
      <c r="AC69" s="49">
        <f>IF(AB69&gt;0,AB69*Plan!$D$28/100/12,0)</f>
        <v/>
      </c>
      <c r="AD69" s="48">
        <f>IF(AB69&lt;=0,0,MIN(AB69+AC69,Plan!$E$28+AA69))</f>
        <v/>
      </c>
      <c r="AE69" s="50">
        <f>MAX(0,AB69+AC69-AD69)</f>
        <v/>
      </c>
      <c r="AF69" s="51">
        <f>AA69-IF(AB69&lt;=0,0,MAX(0,AD69-Plan!$E$28))</f>
        <v/>
      </c>
      <c r="AG69" s="50">
        <f>F69+K69+P69+U69+Z69+AE69</f>
        <v/>
      </c>
    </row>
    <row r="70">
      <c r="A70" s="40" t="n">
        <v>63</v>
      </c>
      <c r="B70" s="41">
        <f>EDATE(Plan!$C$18,62)</f>
        <v/>
      </c>
      <c r="C70" s="42">
        <f>F69</f>
        <v/>
      </c>
      <c r="D70" s="43">
        <f>IF(C70&gt;0,C70*Plan!$D$23/100/12,0)</f>
        <v/>
      </c>
      <c r="E70" s="42">
        <f>IF(C70&lt;=0,0,MIN(C70+D70,Plan!$E$23+(Plan!$C$17+IF(C70&lt;=0,Plan!$E$23,MAX(0,Plan!$E$23-(C70+D70)))+IF(H70&lt;=0,Plan!$E$24,MAX(0,Plan!$E$24-(H70+I70)))+IF(M70&lt;=0,Plan!$E$25,MAX(0,Plan!$E$25-(M70+N70)))+IF(R70&lt;=0,Plan!$E$26,MAX(0,Plan!$E$26-(R70+S70)))+IF(W70&lt;=0,Plan!$E$27,MAX(0,Plan!$E$27-(W70+X70)))+IF(AB70&lt;=0,Plan!$E$28,MAX(0,Plan!$E$28-(AB70+AC70))))))</f>
        <v/>
      </c>
      <c r="F70" s="44">
        <f>MAX(0,C70+D70-E70)</f>
        <v/>
      </c>
      <c r="G70" s="45">
        <f>(Plan!$C$17+IF(C70&lt;=0,Plan!$E$23,MAX(0,Plan!$E$23-(C70+D70)))+IF(H70&lt;=0,Plan!$E$24,MAX(0,Plan!$E$24-(H70+I70)))+IF(M70&lt;=0,Plan!$E$25,MAX(0,Plan!$E$25-(M70+N70)))+IF(R70&lt;=0,Plan!$E$26,MAX(0,Plan!$E$26-(R70+S70)))+IF(W70&lt;=0,Plan!$E$27,MAX(0,Plan!$E$27-(W70+X70)))+IF(AB70&lt;=0,Plan!$E$28,MAX(0,Plan!$E$28-(AB70+AC70))))-IF(C70&lt;=0,0,MAX(0,E70-Plan!$E$23))</f>
        <v/>
      </c>
      <c r="H70" s="42">
        <f>K69</f>
        <v/>
      </c>
      <c r="I70" s="43">
        <f>IF(H70&gt;0,H70*Plan!$D$24/100/12,0)</f>
        <v/>
      </c>
      <c r="J70" s="42">
        <f>IF(H70&lt;=0,0,MIN(H70+I70,Plan!$E$24+G70))</f>
        <v/>
      </c>
      <c r="K70" s="44">
        <f>MAX(0,H70+I70-J70)</f>
        <v/>
      </c>
      <c r="L70" s="45">
        <f>G70-IF(H70&lt;=0,0,MAX(0,J70-Plan!$E$24))</f>
        <v/>
      </c>
      <c r="M70" s="42">
        <f>P69</f>
        <v/>
      </c>
      <c r="N70" s="43">
        <f>IF(M70&gt;0,M70*Plan!$D$25/100/12,0)</f>
        <v/>
      </c>
      <c r="O70" s="42">
        <f>IF(M70&lt;=0,0,MIN(M70+N70,Plan!$E$25+L70))</f>
        <v/>
      </c>
      <c r="P70" s="44">
        <f>MAX(0,M70+N70-O70)</f>
        <v/>
      </c>
      <c r="Q70" s="45">
        <f>L70-IF(M70&lt;=0,0,MAX(0,O70-Plan!$E$25))</f>
        <v/>
      </c>
      <c r="R70" s="42">
        <f>U69</f>
        <v/>
      </c>
      <c r="S70" s="43">
        <f>IF(R70&gt;0,R70*Plan!$D$26/100/12,0)</f>
        <v/>
      </c>
      <c r="T70" s="42">
        <f>IF(R70&lt;=0,0,MIN(R70+S70,Plan!$E$26+Q70))</f>
        <v/>
      </c>
      <c r="U70" s="44">
        <f>MAX(0,R70+S70-T70)</f>
        <v/>
      </c>
      <c r="V70" s="45">
        <f>Q70-IF(R70&lt;=0,0,MAX(0,T70-Plan!$E$26))</f>
        <v/>
      </c>
      <c r="W70" s="42">
        <f>Z69</f>
        <v/>
      </c>
      <c r="X70" s="43">
        <f>IF(W70&gt;0,W70*Plan!$D$27/100/12,0)</f>
        <v/>
      </c>
      <c r="Y70" s="42">
        <f>IF(W70&lt;=0,0,MIN(W70+X70,Plan!$E$27+V70))</f>
        <v/>
      </c>
      <c r="Z70" s="44">
        <f>MAX(0,W70+X70-Y70)</f>
        <v/>
      </c>
      <c r="AA70" s="45">
        <f>V70-IF(W70&lt;=0,0,MAX(0,Y70-Plan!$E$27))</f>
        <v/>
      </c>
      <c r="AB70" s="42">
        <f>AE69</f>
        <v/>
      </c>
      <c r="AC70" s="43">
        <f>IF(AB70&gt;0,AB70*Plan!$D$28/100/12,0)</f>
        <v/>
      </c>
      <c r="AD70" s="42">
        <f>IF(AB70&lt;=0,0,MIN(AB70+AC70,Plan!$E$28+AA70))</f>
        <v/>
      </c>
      <c r="AE70" s="44">
        <f>MAX(0,AB70+AC70-AD70)</f>
        <v/>
      </c>
      <c r="AF70" s="45">
        <f>AA70-IF(AB70&lt;=0,0,MAX(0,AD70-Plan!$E$28))</f>
        <v/>
      </c>
      <c r="AG70" s="44">
        <f>F70+K70+P70+U70+Z70+AE70</f>
        <v/>
      </c>
    </row>
    <row r="71">
      <c r="A71" s="46" t="n">
        <v>64</v>
      </c>
      <c r="B71" s="47">
        <f>EDATE(Plan!$C$18,63)</f>
        <v/>
      </c>
      <c r="C71" s="48">
        <f>F70</f>
        <v/>
      </c>
      <c r="D71" s="49">
        <f>IF(C71&gt;0,C71*Plan!$D$23/100/12,0)</f>
        <v/>
      </c>
      <c r="E71" s="48">
        <f>IF(C71&lt;=0,0,MIN(C71+D71,Plan!$E$23+(Plan!$C$17+IF(C71&lt;=0,Plan!$E$23,MAX(0,Plan!$E$23-(C71+D71)))+IF(H71&lt;=0,Plan!$E$24,MAX(0,Plan!$E$24-(H71+I71)))+IF(M71&lt;=0,Plan!$E$25,MAX(0,Plan!$E$25-(M71+N71)))+IF(R71&lt;=0,Plan!$E$26,MAX(0,Plan!$E$26-(R71+S71)))+IF(W71&lt;=0,Plan!$E$27,MAX(0,Plan!$E$27-(W71+X71)))+IF(AB71&lt;=0,Plan!$E$28,MAX(0,Plan!$E$28-(AB71+AC71))))))</f>
        <v/>
      </c>
      <c r="F71" s="50">
        <f>MAX(0,C71+D71-E71)</f>
        <v/>
      </c>
      <c r="G71" s="51">
        <f>(Plan!$C$17+IF(C71&lt;=0,Plan!$E$23,MAX(0,Plan!$E$23-(C71+D71)))+IF(H71&lt;=0,Plan!$E$24,MAX(0,Plan!$E$24-(H71+I71)))+IF(M71&lt;=0,Plan!$E$25,MAX(0,Plan!$E$25-(M71+N71)))+IF(R71&lt;=0,Plan!$E$26,MAX(0,Plan!$E$26-(R71+S71)))+IF(W71&lt;=0,Plan!$E$27,MAX(0,Plan!$E$27-(W71+X71)))+IF(AB71&lt;=0,Plan!$E$28,MAX(0,Plan!$E$28-(AB71+AC71))))-IF(C71&lt;=0,0,MAX(0,E71-Plan!$E$23))</f>
        <v/>
      </c>
      <c r="H71" s="48">
        <f>K70</f>
        <v/>
      </c>
      <c r="I71" s="49">
        <f>IF(H71&gt;0,H71*Plan!$D$24/100/12,0)</f>
        <v/>
      </c>
      <c r="J71" s="48">
        <f>IF(H71&lt;=0,0,MIN(H71+I71,Plan!$E$24+G71))</f>
        <v/>
      </c>
      <c r="K71" s="50">
        <f>MAX(0,H71+I71-J71)</f>
        <v/>
      </c>
      <c r="L71" s="51">
        <f>G71-IF(H71&lt;=0,0,MAX(0,J71-Plan!$E$24))</f>
        <v/>
      </c>
      <c r="M71" s="48">
        <f>P70</f>
        <v/>
      </c>
      <c r="N71" s="49">
        <f>IF(M71&gt;0,M71*Plan!$D$25/100/12,0)</f>
        <v/>
      </c>
      <c r="O71" s="48">
        <f>IF(M71&lt;=0,0,MIN(M71+N71,Plan!$E$25+L71))</f>
        <v/>
      </c>
      <c r="P71" s="50">
        <f>MAX(0,M71+N71-O71)</f>
        <v/>
      </c>
      <c r="Q71" s="51">
        <f>L71-IF(M71&lt;=0,0,MAX(0,O71-Plan!$E$25))</f>
        <v/>
      </c>
      <c r="R71" s="48">
        <f>U70</f>
        <v/>
      </c>
      <c r="S71" s="49">
        <f>IF(R71&gt;0,R71*Plan!$D$26/100/12,0)</f>
        <v/>
      </c>
      <c r="T71" s="48">
        <f>IF(R71&lt;=0,0,MIN(R71+S71,Plan!$E$26+Q71))</f>
        <v/>
      </c>
      <c r="U71" s="50">
        <f>MAX(0,R71+S71-T71)</f>
        <v/>
      </c>
      <c r="V71" s="51">
        <f>Q71-IF(R71&lt;=0,0,MAX(0,T71-Plan!$E$26))</f>
        <v/>
      </c>
      <c r="W71" s="48">
        <f>Z70</f>
        <v/>
      </c>
      <c r="X71" s="49">
        <f>IF(W71&gt;0,W71*Plan!$D$27/100/12,0)</f>
        <v/>
      </c>
      <c r="Y71" s="48">
        <f>IF(W71&lt;=0,0,MIN(W71+X71,Plan!$E$27+V71))</f>
        <v/>
      </c>
      <c r="Z71" s="50">
        <f>MAX(0,W71+X71-Y71)</f>
        <v/>
      </c>
      <c r="AA71" s="51">
        <f>V71-IF(W71&lt;=0,0,MAX(0,Y71-Plan!$E$27))</f>
        <v/>
      </c>
      <c r="AB71" s="48">
        <f>AE70</f>
        <v/>
      </c>
      <c r="AC71" s="49">
        <f>IF(AB71&gt;0,AB71*Plan!$D$28/100/12,0)</f>
        <v/>
      </c>
      <c r="AD71" s="48">
        <f>IF(AB71&lt;=0,0,MIN(AB71+AC71,Plan!$E$28+AA71))</f>
        <v/>
      </c>
      <c r="AE71" s="50">
        <f>MAX(0,AB71+AC71-AD71)</f>
        <v/>
      </c>
      <c r="AF71" s="51">
        <f>AA71-IF(AB71&lt;=0,0,MAX(0,AD71-Plan!$E$28))</f>
        <v/>
      </c>
      <c r="AG71" s="50">
        <f>F71+K71+P71+U71+Z71+AE71</f>
        <v/>
      </c>
    </row>
    <row r="72">
      <c r="A72" s="40" t="n">
        <v>65</v>
      </c>
      <c r="B72" s="41">
        <f>EDATE(Plan!$C$18,64)</f>
        <v/>
      </c>
      <c r="C72" s="42">
        <f>F71</f>
        <v/>
      </c>
      <c r="D72" s="43">
        <f>IF(C72&gt;0,C72*Plan!$D$23/100/12,0)</f>
        <v/>
      </c>
      <c r="E72" s="42">
        <f>IF(C72&lt;=0,0,MIN(C72+D72,Plan!$E$23+(Plan!$C$17+IF(C72&lt;=0,Plan!$E$23,MAX(0,Plan!$E$23-(C72+D72)))+IF(H72&lt;=0,Plan!$E$24,MAX(0,Plan!$E$24-(H72+I72)))+IF(M72&lt;=0,Plan!$E$25,MAX(0,Plan!$E$25-(M72+N72)))+IF(R72&lt;=0,Plan!$E$26,MAX(0,Plan!$E$26-(R72+S72)))+IF(W72&lt;=0,Plan!$E$27,MAX(0,Plan!$E$27-(W72+X72)))+IF(AB72&lt;=0,Plan!$E$28,MAX(0,Plan!$E$28-(AB72+AC72))))))</f>
        <v/>
      </c>
      <c r="F72" s="44">
        <f>MAX(0,C72+D72-E72)</f>
        <v/>
      </c>
      <c r="G72" s="45">
        <f>(Plan!$C$17+IF(C72&lt;=0,Plan!$E$23,MAX(0,Plan!$E$23-(C72+D72)))+IF(H72&lt;=0,Plan!$E$24,MAX(0,Plan!$E$24-(H72+I72)))+IF(M72&lt;=0,Plan!$E$25,MAX(0,Plan!$E$25-(M72+N72)))+IF(R72&lt;=0,Plan!$E$26,MAX(0,Plan!$E$26-(R72+S72)))+IF(W72&lt;=0,Plan!$E$27,MAX(0,Plan!$E$27-(W72+X72)))+IF(AB72&lt;=0,Plan!$E$28,MAX(0,Plan!$E$28-(AB72+AC72))))-IF(C72&lt;=0,0,MAX(0,E72-Plan!$E$23))</f>
        <v/>
      </c>
      <c r="H72" s="42">
        <f>K71</f>
        <v/>
      </c>
      <c r="I72" s="43">
        <f>IF(H72&gt;0,H72*Plan!$D$24/100/12,0)</f>
        <v/>
      </c>
      <c r="J72" s="42">
        <f>IF(H72&lt;=0,0,MIN(H72+I72,Plan!$E$24+G72))</f>
        <v/>
      </c>
      <c r="K72" s="44">
        <f>MAX(0,H72+I72-J72)</f>
        <v/>
      </c>
      <c r="L72" s="45">
        <f>G72-IF(H72&lt;=0,0,MAX(0,J72-Plan!$E$24))</f>
        <v/>
      </c>
      <c r="M72" s="42">
        <f>P71</f>
        <v/>
      </c>
      <c r="N72" s="43">
        <f>IF(M72&gt;0,M72*Plan!$D$25/100/12,0)</f>
        <v/>
      </c>
      <c r="O72" s="42">
        <f>IF(M72&lt;=0,0,MIN(M72+N72,Plan!$E$25+L72))</f>
        <v/>
      </c>
      <c r="P72" s="44">
        <f>MAX(0,M72+N72-O72)</f>
        <v/>
      </c>
      <c r="Q72" s="45">
        <f>L72-IF(M72&lt;=0,0,MAX(0,O72-Plan!$E$25))</f>
        <v/>
      </c>
      <c r="R72" s="42">
        <f>U71</f>
        <v/>
      </c>
      <c r="S72" s="43">
        <f>IF(R72&gt;0,R72*Plan!$D$26/100/12,0)</f>
        <v/>
      </c>
      <c r="T72" s="42">
        <f>IF(R72&lt;=0,0,MIN(R72+S72,Plan!$E$26+Q72))</f>
        <v/>
      </c>
      <c r="U72" s="44">
        <f>MAX(0,R72+S72-T72)</f>
        <v/>
      </c>
      <c r="V72" s="45">
        <f>Q72-IF(R72&lt;=0,0,MAX(0,T72-Plan!$E$26))</f>
        <v/>
      </c>
      <c r="W72" s="42">
        <f>Z71</f>
        <v/>
      </c>
      <c r="X72" s="43">
        <f>IF(W72&gt;0,W72*Plan!$D$27/100/12,0)</f>
        <v/>
      </c>
      <c r="Y72" s="42">
        <f>IF(W72&lt;=0,0,MIN(W72+X72,Plan!$E$27+V72))</f>
        <v/>
      </c>
      <c r="Z72" s="44">
        <f>MAX(0,W72+X72-Y72)</f>
        <v/>
      </c>
      <c r="AA72" s="45">
        <f>V72-IF(W72&lt;=0,0,MAX(0,Y72-Plan!$E$27))</f>
        <v/>
      </c>
      <c r="AB72" s="42">
        <f>AE71</f>
        <v/>
      </c>
      <c r="AC72" s="43">
        <f>IF(AB72&gt;0,AB72*Plan!$D$28/100/12,0)</f>
        <v/>
      </c>
      <c r="AD72" s="42">
        <f>IF(AB72&lt;=0,0,MIN(AB72+AC72,Plan!$E$28+AA72))</f>
        <v/>
      </c>
      <c r="AE72" s="44">
        <f>MAX(0,AB72+AC72-AD72)</f>
        <v/>
      </c>
      <c r="AF72" s="45">
        <f>AA72-IF(AB72&lt;=0,0,MAX(0,AD72-Plan!$E$28))</f>
        <v/>
      </c>
      <c r="AG72" s="44">
        <f>F72+K72+P72+U72+Z72+AE72</f>
        <v/>
      </c>
    </row>
    <row r="73">
      <c r="A73" s="46" t="n">
        <v>66</v>
      </c>
      <c r="B73" s="47">
        <f>EDATE(Plan!$C$18,65)</f>
        <v/>
      </c>
      <c r="C73" s="48">
        <f>F72</f>
        <v/>
      </c>
      <c r="D73" s="49">
        <f>IF(C73&gt;0,C73*Plan!$D$23/100/12,0)</f>
        <v/>
      </c>
      <c r="E73" s="48">
        <f>IF(C73&lt;=0,0,MIN(C73+D73,Plan!$E$23+(Plan!$C$17+IF(C73&lt;=0,Plan!$E$23,MAX(0,Plan!$E$23-(C73+D73)))+IF(H73&lt;=0,Plan!$E$24,MAX(0,Plan!$E$24-(H73+I73)))+IF(M73&lt;=0,Plan!$E$25,MAX(0,Plan!$E$25-(M73+N73)))+IF(R73&lt;=0,Plan!$E$26,MAX(0,Plan!$E$26-(R73+S73)))+IF(W73&lt;=0,Plan!$E$27,MAX(0,Plan!$E$27-(W73+X73)))+IF(AB73&lt;=0,Plan!$E$28,MAX(0,Plan!$E$28-(AB73+AC73))))))</f>
        <v/>
      </c>
      <c r="F73" s="50">
        <f>MAX(0,C73+D73-E73)</f>
        <v/>
      </c>
      <c r="G73" s="51">
        <f>(Plan!$C$17+IF(C73&lt;=0,Plan!$E$23,MAX(0,Plan!$E$23-(C73+D73)))+IF(H73&lt;=0,Plan!$E$24,MAX(0,Plan!$E$24-(H73+I73)))+IF(M73&lt;=0,Plan!$E$25,MAX(0,Plan!$E$25-(M73+N73)))+IF(R73&lt;=0,Plan!$E$26,MAX(0,Plan!$E$26-(R73+S73)))+IF(W73&lt;=0,Plan!$E$27,MAX(0,Plan!$E$27-(W73+X73)))+IF(AB73&lt;=0,Plan!$E$28,MAX(0,Plan!$E$28-(AB73+AC73))))-IF(C73&lt;=0,0,MAX(0,E73-Plan!$E$23))</f>
        <v/>
      </c>
      <c r="H73" s="48">
        <f>K72</f>
        <v/>
      </c>
      <c r="I73" s="49">
        <f>IF(H73&gt;0,H73*Plan!$D$24/100/12,0)</f>
        <v/>
      </c>
      <c r="J73" s="48">
        <f>IF(H73&lt;=0,0,MIN(H73+I73,Plan!$E$24+G73))</f>
        <v/>
      </c>
      <c r="K73" s="50">
        <f>MAX(0,H73+I73-J73)</f>
        <v/>
      </c>
      <c r="L73" s="51">
        <f>G73-IF(H73&lt;=0,0,MAX(0,J73-Plan!$E$24))</f>
        <v/>
      </c>
      <c r="M73" s="48">
        <f>P72</f>
        <v/>
      </c>
      <c r="N73" s="49">
        <f>IF(M73&gt;0,M73*Plan!$D$25/100/12,0)</f>
        <v/>
      </c>
      <c r="O73" s="48">
        <f>IF(M73&lt;=0,0,MIN(M73+N73,Plan!$E$25+L73))</f>
        <v/>
      </c>
      <c r="P73" s="50">
        <f>MAX(0,M73+N73-O73)</f>
        <v/>
      </c>
      <c r="Q73" s="51">
        <f>L73-IF(M73&lt;=0,0,MAX(0,O73-Plan!$E$25))</f>
        <v/>
      </c>
      <c r="R73" s="48">
        <f>U72</f>
        <v/>
      </c>
      <c r="S73" s="49">
        <f>IF(R73&gt;0,R73*Plan!$D$26/100/12,0)</f>
        <v/>
      </c>
      <c r="T73" s="48">
        <f>IF(R73&lt;=0,0,MIN(R73+S73,Plan!$E$26+Q73))</f>
        <v/>
      </c>
      <c r="U73" s="50">
        <f>MAX(0,R73+S73-T73)</f>
        <v/>
      </c>
      <c r="V73" s="51">
        <f>Q73-IF(R73&lt;=0,0,MAX(0,T73-Plan!$E$26))</f>
        <v/>
      </c>
      <c r="W73" s="48">
        <f>Z72</f>
        <v/>
      </c>
      <c r="X73" s="49">
        <f>IF(W73&gt;0,W73*Plan!$D$27/100/12,0)</f>
        <v/>
      </c>
      <c r="Y73" s="48">
        <f>IF(W73&lt;=0,0,MIN(W73+X73,Plan!$E$27+V73))</f>
        <v/>
      </c>
      <c r="Z73" s="50">
        <f>MAX(0,W73+X73-Y73)</f>
        <v/>
      </c>
      <c r="AA73" s="51">
        <f>V73-IF(W73&lt;=0,0,MAX(0,Y73-Plan!$E$27))</f>
        <v/>
      </c>
      <c r="AB73" s="48">
        <f>AE72</f>
        <v/>
      </c>
      <c r="AC73" s="49">
        <f>IF(AB73&gt;0,AB73*Plan!$D$28/100/12,0)</f>
        <v/>
      </c>
      <c r="AD73" s="48">
        <f>IF(AB73&lt;=0,0,MIN(AB73+AC73,Plan!$E$28+AA73))</f>
        <v/>
      </c>
      <c r="AE73" s="50">
        <f>MAX(0,AB73+AC73-AD73)</f>
        <v/>
      </c>
      <c r="AF73" s="51">
        <f>AA73-IF(AB73&lt;=0,0,MAX(0,AD73-Plan!$E$28))</f>
        <v/>
      </c>
      <c r="AG73" s="50">
        <f>F73+K73+P73+U73+Z73+AE73</f>
        <v/>
      </c>
    </row>
    <row r="74">
      <c r="A74" s="40" t="n">
        <v>67</v>
      </c>
      <c r="B74" s="41">
        <f>EDATE(Plan!$C$18,66)</f>
        <v/>
      </c>
      <c r="C74" s="42">
        <f>F73</f>
        <v/>
      </c>
      <c r="D74" s="43">
        <f>IF(C74&gt;0,C74*Plan!$D$23/100/12,0)</f>
        <v/>
      </c>
      <c r="E74" s="42">
        <f>IF(C74&lt;=0,0,MIN(C74+D74,Plan!$E$23+(Plan!$C$17+IF(C74&lt;=0,Plan!$E$23,MAX(0,Plan!$E$23-(C74+D74)))+IF(H74&lt;=0,Plan!$E$24,MAX(0,Plan!$E$24-(H74+I74)))+IF(M74&lt;=0,Plan!$E$25,MAX(0,Plan!$E$25-(M74+N74)))+IF(R74&lt;=0,Plan!$E$26,MAX(0,Plan!$E$26-(R74+S74)))+IF(W74&lt;=0,Plan!$E$27,MAX(0,Plan!$E$27-(W74+X74)))+IF(AB74&lt;=0,Plan!$E$28,MAX(0,Plan!$E$28-(AB74+AC74))))))</f>
        <v/>
      </c>
      <c r="F74" s="44">
        <f>MAX(0,C74+D74-E74)</f>
        <v/>
      </c>
      <c r="G74" s="45">
        <f>(Plan!$C$17+IF(C74&lt;=0,Plan!$E$23,MAX(0,Plan!$E$23-(C74+D74)))+IF(H74&lt;=0,Plan!$E$24,MAX(0,Plan!$E$24-(H74+I74)))+IF(M74&lt;=0,Plan!$E$25,MAX(0,Plan!$E$25-(M74+N74)))+IF(R74&lt;=0,Plan!$E$26,MAX(0,Plan!$E$26-(R74+S74)))+IF(W74&lt;=0,Plan!$E$27,MAX(0,Plan!$E$27-(W74+X74)))+IF(AB74&lt;=0,Plan!$E$28,MAX(0,Plan!$E$28-(AB74+AC74))))-IF(C74&lt;=0,0,MAX(0,E74-Plan!$E$23))</f>
        <v/>
      </c>
      <c r="H74" s="42">
        <f>K73</f>
        <v/>
      </c>
      <c r="I74" s="43">
        <f>IF(H74&gt;0,H74*Plan!$D$24/100/12,0)</f>
        <v/>
      </c>
      <c r="J74" s="42">
        <f>IF(H74&lt;=0,0,MIN(H74+I74,Plan!$E$24+G74))</f>
        <v/>
      </c>
      <c r="K74" s="44">
        <f>MAX(0,H74+I74-J74)</f>
        <v/>
      </c>
      <c r="L74" s="45">
        <f>G74-IF(H74&lt;=0,0,MAX(0,J74-Plan!$E$24))</f>
        <v/>
      </c>
      <c r="M74" s="42">
        <f>P73</f>
        <v/>
      </c>
      <c r="N74" s="43">
        <f>IF(M74&gt;0,M74*Plan!$D$25/100/12,0)</f>
        <v/>
      </c>
      <c r="O74" s="42">
        <f>IF(M74&lt;=0,0,MIN(M74+N74,Plan!$E$25+L74))</f>
        <v/>
      </c>
      <c r="P74" s="44">
        <f>MAX(0,M74+N74-O74)</f>
        <v/>
      </c>
      <c r="Q74" s="45">
        <f>L74-IF(M74&lt;=0,0,MAX(0,O74-Plan!$E$25))</f>
        <v/>
      </c>
      <c r="R74" s="42">
        <f>U73</f>
        <v/>
      </c>
      <c r="S74" s="43">
        <f>IF(R74&gt;0,R74*Plan!$D$26/100/12,0)</f>
        <v/>
      </c>
      <c r="T74" s="42">
        <f>IF(R74&lt;=0,0,MIN(R74+S74,Plan!$E$26+Q74))</f>
        <v/>
      </c>
      <c r="U74" s="44">
        <f>MAX(0,R74+S74-T74)</f>
        <v/>
      </c>
      <c r="V74" s="45">
        <f>Q74-IF(R74&lt;=0,0,MAX(0,T74-Plan!$E$26))</f>
        <v/>
      </c>
      <c r="W74" s="42">
        <f>Z73</f>
        <v/>
      </c>
      <c r="X74" s="43">
        <f>IF(W74&gt;0,W74*Plan!$D$27/100/12,0)</f>
        <v/>
      </c>
      <c r="Y74" s="42">
        <f>IF(W74&lt;=0,0,MIN(W74+X74,Plan!$E$27+V74))</f>
        <v/>
      </c>
      <c r="Z74" s="44">
        <f>MAX(0,W74+X74-Y74)</f>
        <v/>
      </c>
      <c r="AA74" s="45">
        <f>V74-IF(W74&lt;=0,0,MAX(0,Y74-Plan!$E$27))</f>
        <v/>
      </c>
      <c r="AB74" s="42">
        <f>AE73</f>
        <v/>
      </c>
      <c r="AC74" s="43">
        <f>IF(AB74&gt;0,AB74*Plan!$D$28/100/12,0)</f>
        <v/>
      </c>
      <c r="AD74" s="42">
        <f>IF(AB74&lt;=0,0,MIN(AB74+AC74,Plan!$E$28+AA74))</f>
        <v/>
      </c>
      <c r="AE74" s="44">
        <f>MAX(0,AB74+AC74-AD74)</f>
        <v/>
      </c>
      <c r="AF74" s="45">
        <f>AA74-IF(AB74&lt;=0,0,MAX(0,AD74-Plan!$E$28))</f>
        <v/>
      </c>
      <c r="AG74" s="44">
        <f>F74+K74+P74+U74+Z74+AE74</f>
        <v/>
      </c>
    </row>
    <row r="75">
      <c r="A75" s="46" t="n">
        <v>68</v>
      </c>
      <c r="B75" s="47">
        <f>EDATE(Plan!$C$18,67)</f>
        <v/>
      </c>
      <c r="C75" s="48">
        <f>F74</f>
        <v/>
      </c>
      <c r="D75" s="49">
        <f>IF(C75&gt;0,C75*Plan!$D$23/100/12,0)</f>
        <v/>
      </c>
      <c r="E75" s="48">
        <f>IF(C75&lt;=0,0,MIN(C75+D75,Plan!$E$23+(Plan!$C$17+IF(C75&lt;=0,Plan!$E$23,MAX(0,Plan!$E$23-(C75+D75)))+IF(H75&lt;=0,Plan!$E$24,MAX(0,Plan!$E$24-(H75+I75)))+IF(M75&lt;=0,Plan!$E$25,MAX(0,Plan!$E$25-(M75+N75)))+IF(R75&lt;=0,Plan!$E$26,MAX(0,Plan!$E$26-(R75+S75)))+IF(W75&lt;=0,Plan!$E$27,MAX(0,Plan!$E$27-(W75+X75)))+IF(AB75&lt;=0,Plan!$E$28,MAX(0,Plan!$E$28-(AB75+AC75))))))</f>
        <v/>
      </c>
      <c r="F75" s="50">
        <f>MAX(0,C75+D75-E75)</f>
        <v/>
      </c>
      <c r="G75" s="51">
        <f>(Plan!$C$17+IF(C75&lt;=0,Plan!$E$23,MAX(0,Plan!$E$23-(C75+D75)))+IF(H75&lt;=0,Plan!$E$24,MAX(0,Plan!$E$24-(H75+I75)))+IF(M75&lt;=0,Plan!$E$25,MAX(0,Plan!$E$25-(M75+N75)))+IF(R75&lt;=0,Plan!$E$26,MAX(0,Plan!$E$26-(R75+S75)))+IF(W75&lt;=0,Plan!$E$27,MAX(0,Plan!$E$27-(W75+X75)))+IF(AB75&lt;=0,Plan!$E$28,MAX(0,Plan!$E$28-(AB75+AC75))))-IF(C75&lt;=0,0,MAX(0,E75-Plan!$E$23))</f>
        <v/>
      </c>
      <c r="H75" s="48">
        <f>K74</f>
        <v/>
      </c>
      <c r="I75" s="49">
        <f>IF(H75&gt;0,H75*Plan!$D$24/100/12,0)</f>
        <v/>
      </c>
      <c r="J75" s="48">
        <f>IF(H75&lt;=0,0,MIN(H75+I75,Plan!$E$24+G75))</f>
        <v/>
      </c>
      <c r="K75" s="50">
        <f>MAX(0,H75+I75-J75)</f>
        <v/>
      </c>
      <c r="L75" s="51">
        <f>G75-IF(H75&lt;=0,0,MAX(0,J75-Plan!$E$24))</f>
        <v/>
      </c>
      <c r="M75" s="48">
        <f>P74</f>
        <v/>
      </c>
      <c r="N75" s="49">
        <f>IF(M75&gt;0,M75*Plan!$D$25/100/12,0)</f>
        <v/>
      </c>
      <c r="O75" s="48">
        <f>IF(M75&lt;=0,0,MIN(M75+N75,Plan!$E$25+L75))</f>
        <v/>
      </c>
      <c r="P75" s="50">
        <f>MAX(0,M75+N75-O75)</f>
        <v/>
      </c>
      <c r="Q75" s="51">
        <f>L75-IF(M75&lt;=0,0,MAX(0,O75-Plan!$E$25))</f>
        <v/>
      </c>
      <c r="R75" s="48">
        <f>U74</f>
        <v/>
      </c>
      <c r="S75" s="49">
        <f>IF(R75&gt;0,R75*Plan!$D$26/100/12,0)</f>
        <v/>
      </c>
      <c r="T75" s="48">
        <f>IF(R75&lt;=0,0,MIN(R75+S75,Plan!$E$26+Q75))</f>
        <v/>
      </c>
      <c r="U75" s="50">
        <f>MAX(0,R75+S75-T75)</f>
        <v/>
      </c>
      <c r="V75" s="51">
        <f>Q75-IF(R75&lt;=0,0,MAX(0,T75-Plan!$E$26))</f>
        <v/>
      </c>
      <c r="W75" s="48">
        <f>Z74</f>
        <v/>
      </c>
      <c r="X75" s="49">
        <f>IF(W75&gt;0,W75*Plan!$D$27/100/12,0)</f>
        <v/>
      </c>
      <c r="Y75" s="48">
        <f>IF(W75&lt;=0,0,MIN(W75+X75,Plan!$E$27+V75))</f>
        <v/>
      </c>
      <c r="Z75" s="50">
        <f>MAX(0,W75+X75-Y75)</f>
        <v/>
      </c>
      <c r="AA75" s="51">
        <f>V75-IF(W75&lt;=0,0,MAX(0,Y75-Plan!$E$27))</f>
        <v/>
      </c>
      <c r="AB75" s="48">
        <f>AE74</f>
        <v/>
      </c>
      <c r="AC75" s="49">
        <f>IF(AB75&gt;0,AB75*Plan!$D$28/100/12,0)</f>
        <v/>
      </c>
      <c r="AD75" s="48">
        <f>IF(AB75&lt;=0,0,MIN(AB75+AC75,Plan!$E$28+AA75))</f>
        <v/>
      </c>
      <c r="AE75" s="50">
        <f>MAX(0,AB75+AC75-AD75)</f>
        <v/>
      </c>
      <c r="AF75" s="51">
        <f>AA75-IF(AB75&lt;=0,0,MAX(0,AD75-Plan!$E$28))</f>
        <v/>
      </c>
      <c r="AG75" s="50">
        <f>F75+K75+P75+U75+Z75+AE75</f>
        <v/>
      </c>
    </row>
    <row r="76">
      <c r="A76" s="40" t="n">
        <v>69</v>
      </c>
      <c r="B76" s="41">
        <f>EDATE(Plan!$C$18,68)</f>
        <v/>
      </c>
      <c r="C76" s="42">
        <f>F75</f>
        <v/>
      </c>
      <c r="D76" s="43">
        <f>IF(C76&gt;0,C76*Plan!$D$23/100/12,0)</f>
        <v/>
      </c>
      <c r="E76" s="42">
        <f>IF(C76&lt;=0,0,MIN(C76+D76,Plan!$E$23+(Plan!$C$17+IF(C76&lt;=0,Plan!$E$23,MAX(0,Plan!$E$23-(C76+D76)))+IF(H76&lt;=0,Plan!$E$24,MAX(0,Plan!$E$24-(H76+I76)))+IF(M76&lt;=0,Plan!$E$25,MAX(0,Plan!$E$25-(M76+N76)))+IF(R76&lt;=0,Plan!$E$26,MAX(0,Plan!$E$26-(R76+S76)))+IF(W76&lt;=0,Plan!$E$27,MAX(0,Plan!$E$27-(W76+X76)))+IF(AB76&lt;=0,Plan!$E$28,MAX(0,Plan!$E$28-(AB76+AC76))))))</f>
        <v/>
      </c>
      <c r="F76" s="44">
        <f>MAX(0,C76+D76-E76)</f>
        <v/>
      </c>
      <c r="G76" s="45">
        <f>(Plan!$C$17+IF(C76&lt;=0,Plan!$E$23,MAX(0,Plan!$E$23-(C76+D76)))+IF(H76&lt;=0,Plan!$E$24,MAX(0,Plan!$E$24-(H76+I76)))+IF(M76&lt;=0,Plan!$E$25,MAX(0,Plan!$E$25-(M76+N76)))+IF(R76&lt;=0,Plan!$E$26,MAX(0,Plan!$E$26-(R76+S76)))+IF(W76&lt;=0,Plan!$E$27,MAX(0,Plan!$E$27-(W76+X76)))+IF(AB76&lt;=0,Plan!$E$28,MAX(0,Plan!$E$28-(AB76+AC76))))-IF(C76&lt;=0,0,MAX(0,E76-Plan!$E$23))</f>
        <v/>
      </c>
      <c r="H76" s="42">
        <f>K75</f>
        <v/>
      </c>
      <c r="I76" s="43">
        <f>IF(H76&gt;0,H76*Plan!$D$24/100/12,0)</f>
        <v/>
      </c>
      <c r="J76" s="42">
        <f>IF(H76&lt;=0,0,MIN(H76+I76,Plan!$E$24+G76))</f>
        <v/>
      </c>
      <c r="K76" s="44">
        <f>MAX(0,H76+I76-J76)</f>
        <v/>
      </c>
      <c r="L76" s="45">
        <f>G76-IF(H76&lt;=0,0,MAX(0,J76-Plan!$E$24))</f>
        <v/>
      </c>
      <c r="M76" s="42">
        <f>P75</f>
        <v/>
      </c>
      <c r="N76" s="43">
        <f>IF(M76&gt;0,M76*Plan!$D$25/100/12,0)</f>
        <v/>
      </c>
      <c r="O76" s="42">
        <f>IF(M76&lt;=0,0,MIN(M76+N76,Plan!$E$25+L76))</f>
        <v/>
      </c>
      <c r="P76" s="44">
        <f>MAX(0,M76+N76-O76)</f>
        <v/>
      </c>
      <c r="Q76" s="45">
        <f>L76-IF(M76&lt;=0,0,MAX(0,O76-Plan!$E$25))</f>
        <v/>
      </c>
      <c r="R76" s="42">
        <f>U75</f>
        <v/>
      </c>
      <c r="S76" s="43">
        <f>IF(R76&gt;0,R76*Plan!$D$26/100/12,0)</f>
        <v/>
      </c>
      <c r="T76" s="42">
        <f>IF(R76&lt;=0,0,MIN(R76+S76,Plan!$E$26+Q76))</f>
        <v/>
      </c>
      <c r="U76" s="44">
        <f>MAX(0,R76+S76-T76)</f>
        <v/>
      </c>
      <c r="V76" s="45">
        <f>Q76-IF(R76&lt;=0,0,MAX(0,T76-Plan!$E$26))</f>
        <v/>
      </c>
      <c r="W76" s="42">
        <f>Z75</f>
        <v/>
      </c>
      <c r="X76" s="43">
        <f>IF(W76&gt;0,W76*Plan!$D$27/100/12,0)</f>
        <v/>
      </c>
      <c r="Y76" s="42">
        <f>IF(W76&lt;=0,0,MIN(W76+X76,Plan!$E$27+V76))</f>
        <v/>
      </c>
      <c r="Z76" s="44">
        <f>MAX(0,W76+X76-Y76)</f>
        <v/>
      </c>
      <c r="AA76" s="45">
        <f>V76-IF(W76&lt;=0,0,MAX(0,Y76-Plan!$E$27))</f>
        <v/>
      </c>
      <c r="AB76" s="42">
        <f>AE75</f>
        <v/>
      </c>
      <c r="AC76" s="43">
        <f>IF(AB76&gt;0,AB76*Plan!$D$28/100/12,0)</f>
        <v/>
      </c>
      <c r="AD76" s="42">
        <f>IF(AB76&lt;=0,0,MIN(AB76+AC76,Plan!$E$28+AA76))</f>
        <v/>
      </c>
      <c r="AE76" s="44">
        <f>MAX(0,AB76+AC76-AD76)</f>
        <v/>
      </c>
      <c r="AF76" s="45">
        <f>AA76-IF(AB76&lt;=0,0,MAX(0,AD76-Plan!$E$28))</f>
        <v/>
      </c>
      <c r="AG76" s="44">
        <f>F76+K76+P76+U76+Z76+AE76</f>
        <v/>
      </c>
    </row>
    <row r="77">
      <c r="A77" s="46" t="n">
        <v>70</v>
      </c>
      <c r="B77" s="47">
        <f>EDATE(Plan!$C$18,69)</f>
        <v/>
      </c>
      <c r="C77" s="48">
        <f>F76</f>
        <v/>
      </c>
      <c r="D77" s="49">
        <f>IF(C77&gt;0,C77*Plan!$D$23/100/12,0)</f>
        <v/>
      </c>
      <c r="E77" s="48">
        <f>IF(C77&lt;=0,0,MIN(C77+D77,Plan!$E$23+(Plan!$C$17+IF(C77&lt;=0,Plan!$E$23,MAX(0,Plan!$E$23-(C77+D77)))+IF(H77&lt;=0,Plan!$E$24,MAX(0,Plan!$E$24-(H77+I77)))+IF(M77&lt;=0,Plan!$E$25,MAX(0,Plan!$E$25-(M77+N77)))+IF(R77&lt;=0,Plan!$E$26,MAX(0,Plan!$E$26-(R77+S77)))+IF(W77&lt;=0,Plan!$E$27,MAX(0,Plan!$E$27-(W77+X77)))+IF(AB77&lt;=0,Plan!$E$28,MAX(0,Plan!$E$28-(AB77+AC77))))))</f>
        <v/>
      </c>
      <c r="F77" s="50">
        <f>MAX(0,C77+D77-E77)</f>
        <v/>
      </c>
      <c r="G77" s="51">
        <f>(Plan!$C$17+IF(C77&lt;=0,Plan!$E$23,MAX(0,Plan!$E$23-(C77+D77)))+IF(H77&lt;=0,Plan!$E$24,MAX(0,Plan!$E$24-(H77+I77)))+IF(M77&lt;=0,Plan!$E$25,MAX(0,Plan!$E$25-(M77+N77)))+IF(R77&lt;=0,Plan!$E$26,MAX(0,Plan!$E$26-(R77+S77)))+IF(W77&lt;=0,Plan!$E$27,MAX(0,Plan!$E$27-(W77+X77)))+IF(AB77&lt;=0,Plan!$E$28,MAX(0,Plan!$E$28-(AB77+AC77))))-IF(C77&lt;=0,0,MAX(0,E77-Plan!$E$23))</f>
        <v/>
      </c>
      <c r="H77" s="48">
        <f>K76</f>
        <v/>
      </c>
      <c r="I77" s="49">
        <f>IF(H77&gt;0,H77*Plan!$D$24/100/12,0)</f>
        <v/>
      </c>
      <c r="J77" s="48">
        <f>IF(H77&lt;=0,0,MIN(H77+I77,Plan!$E$24+G77))</f>
        <v/>
      </c>
      <c r="K77" s="50">
        <f>MAX(0,H77+I77-J77)</f>
        <v/>
      </c>
      <c r="L77" s="51">
        <f>G77-IF(H77&lt;=0,0,MAX(0,J77-Plan!$E$24))</f>
        <v/>
      </c>
      <c r="M77" s="48">
        <f>P76</f>
        <v/>
      </c>
      <c r="N77" s="49">
        <f>IF(M77&gt;0,M77*Plan!$D$25/100/12,0)</f>
        <v/>
      </c>
      <c r="O77" s="48">
        <f>IF(M77&lt;=0,0,MIN(M77+N77,Plan!$E$25+L77))</f>
        <v/>
      </c>
      <c r="P77" s="50">
        <f>MAX(0,M77+N77-O77)</f>
        <v/>
      </c>
      <c r="Q77" s="51">
        <f>L77-IF(M77&lt;=0,0,MAX(0,O77-Plan!$E$25))</f>
        <v/>
      </c>
      <c r="R77" s="48">
        <f>U76</f>
        <v/>
      </c>
      <c r="S77" s="49">
        <f>IF(R77&gt;0,R77*Plan!$D$26/100/12,0)</f>
        <v/>
      </c>
      <c r="T77" s="48">
        <f>IF(R77&lt;=0,0,MIN(R77+S77,Plan!$E$26+Q77))</f>
        <v/>
      </c>
      <c r="U77" s="50">
        <f>MAX(0,R77+S77-T77)</f>
        <v/>
      </c>
      <c r="V77" s="51">
        <f>Q77-IF(R77&lt;=0,0,MAX(0,T77-Plan!$E$26))</f>
        <v/>
      </c>
      <c r="W77" s="48">
        <f>Z76</f>
        <v/>
      </c>
      <c r="X77" s="49">
        <f>IF(W77&gt;0,W77*Plan!$D$27/100/12,0)</f>
        <v/>
      </c>
      <c r="Y77" s="48">
        <f>IF(W77&lt;=0,0,MIN(W77+X77,Plan!$E$27+V77))</f>
        <v/>
      </c>
      <c r="Z77" s="50">
        <f>MAX(0,W77+X77-Y77)</f>
        <v/>
      </c>
      <c r="AA77" s="51">
        <f>V77-IF(W77&lt;=0,0,MAX(0,Y77-Plan!$E$27))</f>
        <v/>
      </c>
      <c r="AB77" s="48">
        <f>AE76</f>
        <v/>
      </c>
      <c r="AC77" s="49">
        <f>IF(AB77&gt;0,AB77*Plan!$D$28/100/12,0)</f>
        <v/>
      </c>
      <c r="AD77" s="48">
        <f>IF(AB77&lt;=0,0,MIN(AB77+AC77,Plan!$E$28+AA77))</f>
        <v/>
      </c>
      <c r="AE77" s="50">
        <f>MAX(0,AB77+AC77-AD77)</f>
        <v/>
      </c>
      <c r="AF77" s="51">
        <f>AA77-IF(AB77&lt;=0,0,MAX(0,AD77-Plan!$E$28))</f>
        <v/>
      </c>
      <c r="AG77" s="50">
        <f>F77+K77+P77+U77+Z77+AE77</f>
        <v/>
      </c>
    </row>
    <row r="78">
      <c r="A78" s="40" t="n">
        <v>71</v>
      </c>
      <c r="B78" s="41">
        <f>EDATE(Plan!$C$18,70)</f>
        <v/>
      </c>
      <c r="C78" s="42">
        <f>F77</f>
        <v/>
      </c>
      <c r="D78" s="43">
        <f>IF(C78&gt;0,C78*Plan!$D$23/100/12,0)</f>
        <v/>
      </c>
      <c r="E78" s="42">
        <f>IF(C78&lt;=0,0,MIN(C78+D78,Plan!$E$23+(Plan!$C$17+IF(C78&lt;=0,Plan!$E$23,MAX(0,Plan!$E$23-(C78+D78)))+IF(H78&lt;=0,Plan!$E$24,MAX(0,Plan!$E$24-(H78+I78)))+IF(M78&lt;=0,Plan!$E$25,MAX(0,Plan!$E$25-(M78+N78)))+IF(R78&lt;=0,Plan!$E$26,MAX(0,Plan!$E$26-(R78+S78)))+IF(W78&lt;=0,Plan!$E$27,MAX(0,Plan!$E$27-(W78+X78)))+IF(AB78&lt;=0,Plan!$E$28,MAX(0,Plan!$E$28-(AB78+AC78))))))</f>
        <v/>
      </c>
      <c r="F78" s="44">
        <f>MAX(0,C78+D78-E78)</f>
        <v/>
      </c>
      <c r="G78" s="45">
        <f>(Plan!$C$17+IF(C78&lt;=0,Plan!$E$23,MAX(0,Plan!$E$23-(C78+D78)))+IF(H78&lt;=0,Plan!$E$24,MAX(0,Plan!$E$24-(H78+I78)))+IF(M78&lt;=0,Plan!$E$25,MAX(0,Plan!$E$25-(M78+N78)))+IF(R78&lt;=0,Plan!$E$26,MAX(0,Plan!$E$26-(R78+S78)))+IF(W78&lt;=0,Plan!$E$27,MAX(0,Plan!$E$27-(W78+X78)))+IF(AB78&lt;=0,Plan!$E$28,MAX(0,Plan!$E$28-(AB78+AC78))))-IF(C78&lt;=0,0,MAX(0,E78-Plan!$E$23))</f>
        <v/>
      </c>
      <c r="H78" s="42">
        <f>K77</f>
        <v/>
      </c>
      <c r="I78" s="43">
        <f>IF(H78&gt;0,H78*Plan!$D$24/100/12,0)</f>
        <v/>
      </c>
      <c r="J78" s="42">
        <f>IF(H78&lt;=0,0,MIN(H78+I78,Plan!$E$24+G78))</f>
        <v/>
      </c>
      <c r="K78" s="44">
        <f>MAX(0,H78+I78-J78)</f>
        <v/>
      </c>
      <c r="L78" s="45">
        <f>G78-IF(H78&lt;=0,0,MAX(0,J78-Plan!$E$24))</f>
        <v/>
      </c>
      <c r="M78" s="42">
        <f>P77</f>
        <v/>
      </c>
      <c r="N78" s="43">
        <f>IF(M78&gt;0,M78*Plan!$D$25/100/12,0)</f>
        <v/>
      </c>
      <c r="O78" s="42">
        <f>IF(M78&lt;=0,0,MIN(M78+N78,Plan!$E$25+L78))</f>
        <v/>
      </c>
      <c r="P78" s="44">
        <f>MAX(0,M78+N78-O78)</f>
        <v/>
      </c>
      <c r="Q78" s="45">
        <f>L78-IF(M78&lt;=0,0,MAX(0,O78-Plan!$E$25))</f>
        <v/>
      </c>
      <c r="R78" s="42">
        <f>U77</f>
        <v/>
      </c>
      <c r="S78" s="43">
        <f>IF(R78&gt;0,R78*Plan!$D$26/100/12,0)</f>
        <v/>
      </c>
      <c r="T78" s="42">
        <f>IF(R78&lt;=0,0,MIN(R78+S78,Plan!$E$26+Q78))</f>
        <v/>
      </c>
      <c r="U78" s="44">
        <f>MAX(0,R78+S78-T78)</f>
        <v/>
      </c>
      <c r="V78" s="45">
        <f>Q78-IF(R78&lt;=0,0,MAX(0,T78-Plan!$E$26))</f>
        <v/>
      </c>
      <c r="W78" s="42">
        <f>Z77</f>
        <v/>
      </c>
      <c r="X78" s="43">
        <f>IF(W78&gt;0,W78*Plan!$D$27/100/12,0)</f>
        <v/>
      </c>
      <c r="Y78" s="42">
        <f>IF(W78&lt;=0,0,MIN(W78+X78,Plan!$E$27+V78))</f>
        <v/>
      </c>
      <c r="Z78" s="44">
        <f>MAX(0,W78+X78-Y78)</f>
        <v/>
      </c>
      <c r="AA78" s="45">
        <f>V78-IF(W78&lt;=0,0,MAX(0,Y78-Plan!$E$27))</f>
        <v/>
      </c>
      <c r="AB78" s="42">
        <f>AE77</f>
        <v/>
      </c>
      <c r="AC78" s="43">
        <f>IF(AB78&gt;0,AB78*Plan!$D$28/100/12,0)</f>
        <v/>
      </c>
      <c r="AD78" s="42">
        <f>IF(AB78&lt;=0,0,MIN(AB78+AC78,Plan!$E$28+AA78))</f>
        <v/>
      </c>
      <c r="AE78" s="44">
        <f>MAX(0,AB78+AC78-AD78)</f>
        <v/>
      </c>
      <c r="AF78" s="45">
        <f>AA78-IF(AB78&lt;=0,0,MAX(0,AD78-Plan!$E$28))</f>
        <v/>
      </c>
      <c r="AG78" s="44">
        <f>F78+K78+P78+U78+Z78+AE78</f>
        <v/>
      </c>
    </row>
    <row r="79">
      <c r="A79" s="46" t="n">
        <v>72</v>
      </c>
      <c r="B79" s="47">
        <f>EDATE(Plan!$C$18,71)</f>
        <v/>
      </c>
      <c r="C79" s="48">
        <f>F78</f>
        <v/>
      </c>
      <c r="D79" s="49">
        <f>IF(C79&gt;0,C79*Plan!$D$23/100/12,0)</f>
        <v/>
      </c>
      <c r="E79" s="48">
        <f>IF(C79&lt;=0,0,MIN(C79+D79,Plan!$E$23+(Plan!$C$17+IF(C79&lt;=0,Plan!$E$23,MAX(0,Plan!$E$23-(C79+D79)))+IF(H79&lt;=0,Plan!$E$24,MAX(0,Plan!$E$24-(H79+I79)))+IF(M79&lt;=0,Plan!$E$25,MAX(0,Plan!$E$25-(M79+N79)))+IF(R79&lt;=0,Plan!$E$26,MAX(0,Plan!$E$26-(R79+S79)))+IF(W79&lt;=0,Plan!$E$27,MAX(0,Plan!$E$27-(W79+X79)))+IF(AB79&lt;=0,Plan!$E$28,MAX(0,Plan!$E$28-(AB79+AC79))))))</f>
        <v/>
      </c>
      <c r="F79" s="50">
        <f>MAX(0,C79+D79-E79)</f>
        <v/>
      </c>
      <c r="G79" s="51">
        <f>(Plan!$C$17+IF(C79&lt;=0,Plan!$E$23,MAX(0,Plan!$E$23-(C79+D79)))+IF(H79&lt;=0,Plan!$E$24,MAX(0,Plan!$E$24-(H79+I79)))+IF(M79&lt;=0,Plan!$E$25,MAX(0,Plan!$E$25-(M79+N79)))+IF(R79&lt;=0,Plan!$E$26,MAX(0,Plan!$E$26-(R79+S79)))+IF(W79&lt;=0,Plan!$E$27,MAX(0,Plan!$E$27-(W79+X79)))+IF(AB79&lt;=0,Plan!$E$28,MAX(0,Plan!$E$28-(AB79+AC79))))-IF(C79&lt;=0,0,MAX(0,E79-Plan!$E$23))</f>
        <v/>
      </c>
      <c r="H79" s="48">
        <f>K78</f>
        <v/>
      </c>
      <c r="I79" s="49">
        <f>IF(H79&gt;0,H79*Plan!$D$24/100/12,0)</f>
        <v/>
      </c>
      <c r="J79" s="48">
        <f>IF(H79&lt;=0,0,MIN(H79+I79,Plan!$E$24+G79))</f>
        <v/>
      </c>
      <c r="K79" s="50">
        <f>MAX(0,H79+I79-J79)</f>
        <v/>
      </c>
      <c r="L79" s="51">
        <f>G79-IF(H79&lt;=0,0,MAX(0,J79-Plan!$E$24))</f>
        <v/>
      </c>
      <c r="M79" s="48">
        <f>P78</f>
        <v/>
      </c>
      <c r="N79" s="49">
        <f>IF(M79&gt;0,M79*Plan!$D$25/100/12,0)</f>
        <v/>
      </c>
      <c r="O79" s="48">
        <f>IF(M79&lt;=0,0,MIN(M79+N79,Plan!$E$25+L79))</f>
        <v/>
      </c>
      <c r="P79" s="50">
        <f>MAX(0,M79+N79-O79)</f>
        <v/>
      </c>
      <c r="Q79" s="51">
        <f>L79-IF(M79&lt;=0,0,MAX(0,O79-Plan!$E$25))</f>
        <v/>
      </c>
      <c r="R79" s="48">
        <f>U78</f>
        <v/>
      </c>
      <c r="S79" s="49">
        <f>IF(R79&gt;0,R79*Plan!$D$26/100/12,0)</f>
        <v/>
      </c>
      <c r="T79" s="48">
        <f>IF(R79&lt;=0,0,MIN(R79+S79,Plan!$E$26+Q79))</f>
        <v/>
      </c>
      <c r="U79" s="50">
        <f>MAX(0,R79+S79-T79)</f>
        <v/>
      </c>
      <c r="V79" s="51">
        <f>Q79-IF(R79&lt;=0,0,MAX(0,T79-Plan!$E$26))</f>
        <v/>
      </c>
      <c r="W79" s="48">
        <f>Z78</f>
        <v/>
      </c>
      <c r="X79" s="49">
        <f>IF(W79&gt;0,W79*Plan!$D$27/100/12,0)</f>
        <v/>
      </c>
      <c r="Y79" s="48">
        <f>IF(W79&lt;=0,0,MIN(W79+X79,Plan!$E$27+V79))</f>
        <v/>
      </c>
      <c r="Z79" s="50">
        <f>MAX(0,W79+X79-Y79)</f>
        <v/>
      </c>
      <c r="AA79" s="51">
        <f>V79-IF(W79&lt;=0,0,MAX(0,Y79-Plan!$E$27))</f>
        <v/>
      </c>
      <c r="AB79" s="48">
        <f>AE78</f>
        <v/>
      </c>
      <c r="AC79" s="49">
        <f>IF(AB79&gt;0,AB79*Plan!$D$28/100/12,0)</f>
        <v/>
      </c>
      <c r="AD79" s="48">
        <f>IF(AB79&lt;=0,0,MIN(AB79+AC79,Plan!$E$28+AA79))</f>
        <v/>
      </c>
      <c r="AE79" s="50">
        <f>MAX(0,AB79+AC79-AD79)</f>
        <v/>
      </c>
      <c r="AF79" s="51">
        <f>AA79-IF(AB79&lt;=0,0,MAX(0,AD79-Plan!$E$28))</f>
        <v/>
      </c>
      <c r="AG79" s="50">
        <f>F79+K79+P79+U79+Z79+AE79</f>
        <v/>
      </c>
    </row>
    <row r="80">
      <c r="A80" s="40" t="n">
        <v>73</v>
      </c>
      <c r="B80" s="41">
        <f>EDATE(Plan!$C$18,72)</f>
        <v/>
      </c>
      <c r="C80" s="42">
        <f>F79</f>
        <v/>
      </c>
      <c r="D80" s="43">
        <f>IF(C80&gt;0,C80*Plan!$D$23/100/12,0)</f>
        <v/>
      </c>
      <c r="E80" s="42">
        <f>IF(C80&lt;=0,0,MIN(C80+D80,Plan!$E$23+(Plan!$C$17+IF(C80&lt;=0,Plan!$E$23,MAX(0,Plan!$E$23-(C80+D80)))+IF(H80&lt;=0,Plan!$E$24,MAX(0,Plan!$E$24-(H80+I80)))+IF(M80&lt;=0,Plan!$E$25,MAX(0,Plan!$E$25-(M80+N80)))+IF(R80&lt;=0,Plan!$E$26,MAX(0,Plan!$E$26-(R80+S80)))+IF(W80&lt;=0,Plan!$E$27,MAX(0,Plan!$E$27-(W80+X80)))+IF(AB80&lt;=0,Plan!$E$28,MAX(0,Plan!$E$28-(AB80+AC80))))))</f>
        <v/>
      </c>
      <c r="F80" s="44">
        <f>MAX(0,C80+D80-E80)</f>
        <v/>
      </c>
      <c r="G80" s="45">
        <f>(Plan!$C$17+IF(C80&lt;=0,Plan!$E$23,MAX(0,Plan!$E$23-(C80+D80)))+IF(H80&lt;=0,Plan!$E$24,MAX(0,Plan!$E$24-(H80+I80)))+IF(M80&lt;=0,Plan!$E$25,MAX(0,Plan!$E$25-(M80+N80)))+IF(R80&lt;=0,Plan!$E$26,MAX(0,Plan!$E$26-(R80+S80)))+IF(W80&lt;=0,Plan!$E$27,MAX(0,Plan!$E$27-(W80+X80)))+IF(AB80&lt;=0,Plan!$E$28,MAX(0,Plan!$E$28-(AB80+AC80))))-IF(C80&lt;=0,0,MAX(0,E80-Plan!$E$23))</f>
        <v/>
      </c>
      <c r="H80" s="42">
        <f>K79</f>
        <v/>
      </c>
      <c r="I80" s="43">
        <f>IF(H80&gt;0,H80*Plan!$D$24/100/12,0)</f>
        <v/>
      </c>
      <c r="J80" s="42">
        <f>IF(H80&lt;=0,0,MIN(H80+I80,Plan!$E$24+G80))</f>
        <v/>
      </c>
      <c r="K80" s="44">
        <f>MAX(0,H80+I80-J80)</f>
        <v/>
      </c>
      <c r="L80" s="45">
        <f>G80-IF(H80&lt;=0,0,MAX(0,J80-Plan!$E$24))</f>
        <v/>
      </c>
      <c r="M80" s="42">
        <f>P79</f>
        <v/>
      </c>
      <c r="N80" s="43">
        <f>IF(M80&gt;0,M80*Plan!$D$25/100/12,0)</f>
        <v/>
      </c>
      <c r="O80" s="42">
        <f>IF(M80&lt;=0,0,MIN(M80+N80,Plan!$E$25+L80))</f>
        <v/>
      </c>
      <c r="P80" s="44">
        <f>MAX(0,M80+N80-O80)</f>
        <v/>
      </c>
      <c r="Q80" s="45">
        <f>L80-IF(M80&lt;=0,0,MAX(0,O80-Plan!$E$25))</f>
        <v/>
      </c>
      <c r="R80" s="42">
        <f>U79</f>
        <v/>
      </c>
      <c r="S80" s="43">
        <f>IF(R80&gt;0,R80*Plan!$D$26/100/12,0)</f>
        <v/>
      </c>
      <c r="T80" s="42">
        <f>IF(R80&lt;=0,0,MIN(R80+S80,Plan!$E$26+Q80))</f>
        <v/>
      </c>
      <c r="U80" s="44">
        <f>MAX(0,R80+S80-T80)</f>
        <v/>
      </c>
      <c r="V80" s="45">
        <f>Q80-IF(R80&lt;=0,0,MAX(0,T80-Plan!$E$26))</f>
        <v/>
      </c>
      <c r="W80" s="42">
        <f>Z79</f>
        <v/>
      </c>
      <c r="X80" s="43">
        <f>IF(W80&gt;0,W80*Plan!$D$27/100/12,0)</f>
        <v/>
      </c>
      <c r="Y80" s="42">
        <f>IF(W80&lt;=0,0,MIN(W80+X80,Plan!$E$27+V80))</f>
        <v/>
      </c>
      <c r="Z80" s="44">
        <f>MAX(0,W80+X80-Y80)</f>
        <v/>
      </c>
      <c r="AA80" s="45">
        <f>V80-IF(W80&lt;=0,0,MAX(0,Y80-Plan!$E$27))</f>
        <v/>
      </c>
      <c r="AB80" s="42">
        <f>AE79</f>
        <v/>
      </c>
      <c r="AC80" s="43">
        <f>IF(AB80&gt;0,AB80*Plan!$D$28/100/12,0)</f>
        <v/>
      </c>
      <c r="AD80" s="42">
        <f>IF(AB80&lt;=0,0,MIN(AB80+AC80,Plan!$E$28+AA80))</f>
        <v/>
      </c>
      <c r="AE80" s="44">
        <f>MAX(0,AB80+AC80-AD80)</f>
        <v/>
      </c>
      <c r="AF80" s="45">
        <f>AA80-IF(AB80&lt;=0,0,MAX(0,AD80-Plan!$E$28))</f>
        <v/>
      </c>
      <c r="AG80" s="44">
        <f>F80+K80+P80+U80+Z80+AE80</f>
        <v/>
      </c>
    </row>
    <row r="81">
      <c r="A81" s="46" t="n">
        <v>74</v>
      </c>
      <c r="B81" s="47">
        <f>EDATE(Plan!$C$18,73)</f>
        <v/>
      </c>
      <c r="C81" s="48">
        <f>F80</f>
        <v/>
      </c>
      <c r="D81" s="49">
        <f>IF(C81&gt;0,C81*Plan!$D$23/100/12,0)</f>
        <v/>
      </c>
      <c r="E81" s="48">
        <f>IF(C81&lt;=0,0,MIN(C81+D81,Plan!$E$23+(Plan!$C$17+IF(C81&lt;=0,Plan!$E$23,MAX(0,Plan!$E$23-(C81+D81)))+IF(H81&lt;=0,Plan!$E$24,MAX(0,Plan!$E$24-(H81+I81)))+IF(M81&lt;=0,Plan!$E$25,MAX(0,Plan!$E$25-(M81+N81)))+IF(R81&lt;=0,Plan!$E$26,MAX(0,Plan!$E$26-(R81+S81)))+IF(W81&lt;=0,Plan!$E$27,MAX(0,Plan!$E$27-(W81+X81)))+IF(AB81&lt;=0,Plan!$E$28,MAX(0,Plan!$E$28-(AB81+AC81))))))</f>
        <v/>
      </c>
      <c r="F81" s="50">
        <f>MAX(0,C81+D81-E81)</f>
        <v/>
      </c>
      <c r="G81" s="51">
        <f>(Plan!$C$17+IF(C81&lt;=0,Plan!$E$23,MAX(0,Plan!$E$23-(C81+D81)))+IF(H81&lt;=0,Plan!$E$24,MAX(0,Plan!$E$24-(H81+I81)))+IF(M81&lt;=0,Plan!$E$25,MAX(0,Plan!$E$25-(M81+N81)))+IF(R81&lt;=0,Plan!$E$26,MAX(0,Plan!$E$26-(R81+S81)))+IF(W81&lt;=0,Plan!$E$27,MAX(0,Plan!$E$27-(W81+X81)))+IF(AB81&lt;=0,Plan!$E$28,MAX(0,Plan!$E$28-(AB81+AC81))))-IF(C81&lt;=0,0,MAX(0,E81-Plan!$E$23))</f>
        <v/>
      </c>
      <c r="H81" s="48">
        <f>K80</f>
        <v/>
      </c>
      <c r="I81" s="49">
        <f>IF(H81&gt;0,H81*Plan!$D$24/100/12,0)</f>
        <v/>
      </c>
      <c r="J81" s="48">
        <f>IF(H81&lt;=0,0,MIN(H81+I81,Plan!$E$24+G81))</f>
        <v/>
      </c>
      <c r="K81" s="50">
        <f>MAX(0,H81+I81-J81)</f>
        <v/>
      </c>
      <c r="L81" s="51">
        <f>G81-IF(H81&lt;=0,0,MAX(0,J81-Plan!$E$24))</f>
        <v/>
      </c>
      <c r="M81" s="48">
        <f>P80</f>
        <v/>
      </c>
      <c r="N81" s="49">
        <f>IF(M81&gt;0,M81*Plan!$D$25/100/12,0)</f>
        <v/>
      </c>
      <c r="O81" s="48">
        <f>IF(M81&lt;=0,0,MIN(M81+N81,Plan!$E$25+L81))</f>
        <v/>
      </c>
      <c r="P81" s="50">
        <f>MAX(0,M81+N81-O81)</f>
        <v/>
      </c>
      <c r="Q81" s="51">
        <f>L81-IF(M81&lt;=0,0,MAX(0,O81-Plan!$E$25))</f>
        <v/>
      </c>
      <c r="R81" s="48">
        <f>U80</f>
        <v/>
      </c>
      <c r="S81" s="49">
        <f>IF(R81&gt;0,R81*Plan!$D$26/100/12,0)</f>
        <v/>
      </c>
      <c r="T81" s="48">
        <f>IF(R81&lt;=0,0,MIN(R81+S81,Plan!$E$26+Q81))</f>
        <v/>
      </c>
      <c r="U81" s="50">
        <f>MAX(0,R81+S81-T81)</f>
        <v/>
      </c>
      <c r="V81" s="51">
        <f>Q81-IF(R81&lt;=0,0,MAX(0,T81-Plan!$E$26))</f>
        <v/>
      </c>
      <c r="W81" s="48">
        <f>Z80</f>
        <v/>
      </c>
      <c r="X81" s="49">
        <f>IF(W81&gt;0,W81*Plan!$D$27/100/12,0)</f>
        <v/>
      </c>
      <c r="Y81" s="48">
        <f>IF(W81&lt;=0,0,MIN(W81+X81,Plan!$E$27+V81))</f>
        <v/>
      </c>
      <c r="Z81" s="50">
        <f>MAX(0,W81+X81-Y81)</f>
        <v/>
      </c>
      <c r="AA81" s="51">
        <f>V81-IF(W81&lt;=0,0,MAX(0,Y81-Plan!$E$27))</f>
        <v/>
      </c>
      <c r="AB81" s="48">
        <f>AE80</f>
        <v/>
      </c>
      <c r="AC81" s="49">
        <f>IF(AB81&gt;0,AB81*Plan!$D$28/100/12,0)</f>
        <v/>
      </c>
      <c r="AD81" s="48">
        <f>IF(AB81&lt;=0,0,MIN(AB81+AC81,Plan!$E$28+AA81))</f>
        <v/>
      </c>
      <c r="AE81" s="50">
        <f>MAX(0,AB81+AC81-AD81)</f>
        <v/>
      </c>
      <c r="AF81" s="51">
        <f>AA81-IF(AB81&lt;=0,0,MAX(0,AD81-Plan!$E$28))</f>
        <v/>
      </c>
      <c r="AG81" s="50">
        <f>F81+K81+P81+U81+Z81+AE81</f>
        <v/>
      </c>
    </row>
    <row r="82">
      <c r="A82" s="40" t="n">
        <v>75</v>
      </c>
      <c r="B82" s="41">
        <f>EDATE(Plan!$C$18,74)</f>
        <v/>
      </c>
      <c r="C82" s="42">
        <f>F81</f>
        <v/>
      </c>
      <c r="D82" s="43">
        <f>IF(C82&gt;0,C82*Plan!$D$23/100/12,0)</f>
        <v/>
      </c>
      <c r="E82" s="42">
        <f>IF(C82&lt;=0,0,MIN(C82+D82,Plan!$E$23+(Plan!$C$17+IF(C82&lt;=0,Plan!$E$23,MAX(0,Plan!$E$23-(C82+D82)))+IF(H82&lt;=0,Plan!$E$24,MAX(0,Plan!$E$24-(H82+I82)))+IF(M82&lt;=0,Plan!$E$25,MAX(0,Plan!$E$25-(M82+N82)))+IF(R82&lt;=0,Plan!$E$26,MAX(0,Plan!$E$26-(R82+S82)))+IF(W82&lt;=0,Plan!$E$27,MAX(0,Plan!$E$27-(W82+X82)))+IF(AB82&lt;=0,Plan!$E$28,MAX(0,Plan!$E$28-(AB82+AC82))))))</f>
        <v/>
      </c>
      <c r="F82" s="44">
        <f>MAX(0,C82+D82-E82)</f>
        <v/>
      </c>
      <c r="G82" s="45">
        <f>(Plan!$C$17+IF(C82&lt;=0,Plan!$E$23,MAX(0,Plan!$E$23-(C82+D82)))+IF(H82&lt;=0,Plan!$E$24,MAX(0,Plan!$E$24-(H82+I82)))+IF(M82&lt;=0,Plan!$E$25,MAX(0,Plan!$E$25-(M82+N82)))+IF(R82&lt;=0,Plan!$E$26,MAX(0,Plan!$E$26-(R82+S82)))+IF(W82&lt;=0,Plan!$E$27,MAX(0,Plan!$E$27-(W82+X82)))+IF(AB82&lt;=0,Plan!$E$28,MAX(0,Plan!$E$28-(AB82+AC82))))-IF(C82&lt;=0,0,MAX(0,E82-Plan!$E$23))</f>
        <v/>
      </c>
      <c r="H82" s="42">
        <f>K81</f>
        <v/>
      </c>
      <c r="I82" s="43">
        <f>IF(H82&gt;0,H82*Plan!$D$24/100/12,0)</f>
        <v/>
      </c>
      <c r="J82" s="42">
        <f>IF(H82&lt;=0,0,MIN(H82+I82,Plan!$E$24+G82))</f>
        <v/>
      </c>
      <c r="K82" s="44">
        <f>MAX(0,H82+I82-J82)</f>
        <v/>
      </c>
      <c r="L82" s="45">
        <f>G82-IF(H82&lt;=0,0,MAX(0,J82-Plan!$E$24))</f>
        <v/>
      </c>
      <c r="M82" s="42">
        <f>P81</f>
        <v/>
      </c>
      <c r="N82" s="43">
        <f>IF(M82&gt;0,M82*Plan!$D$25/100/12,0)</f>
        <v/>
      </c>
      <c r="O82" s="42">
        <f>IF(M82&lt;=0,0,MIN(M82+N82,Plan!$E$25+L82))</f>
        <v/>
      </c>
      <c r="P82" s="44">
        <f>MAX(0,M82+N82-O82)</f>
        <v/>
      </c>
      <c r="Q82" s="45">
        <f>L82-IF(M82&lt;=0,0,MAX(0,O82-Plan!$E$25))</f>
        <v/>
      </c>
      <c r="R82" s="42">
        <f>U81</f>
        <v/>
      </c>
      <c r="S82" s="43">
        <f>IF(R82&gt;0,R82*Plan!$D$26/100/12,0)</f>
        <v/>
      </c>
      <c r="T82" s="42">
        <f>IF(R82&lt;=0,0,MIN(R82+S82,Plan!$E$26+Q82))</f>
        <v/>
      </c>
      <c r="U82" s="44">
        <f>MAX(0,R82+S82-T82)</f>
        <v/>
      </c>
      <c r="V82" s="45">
        <f>Q82-IF(R82&lt;=0,0,MAX(0,T82-Plan!$E$26))</f>
        <v/>
      </c>
      <c r="W82" s="42">
        <f>Z81</f>
        <v/>
      </c>
      <c r="X82" s="43">
        <f>IF(W82&gt;0,W82*Plan!$D$27/100/12,0)</f>
        <v/>
      </c>
      <c r="Y82" s="42">
        <f>IF(W82&lt;=0,0,MIN(W82+X82,Plan!$E$27+V82))</f>
        <v/>
      </c>
      <c r="Z82" s="44">
        <f>MAX(0,W82+X82-Y82)</f>
        <v/>
      </c>
      <c r="AA82" s="45">
        <f>V82-IF(W82&lt;=0,0,MAX(0,Y82-Plan!$E$27))</f>
        <v/>
      </c>
      <c r="AB82" s="42">
        <f>AE81</f>
        <v/>
      </c>
      <c r="AC82" s="43">
        <f>IF(AB82&gt;0,AB82*Plan!$D$28/100/12,0)</f>
        <v/>
      </c>
      <c r="AD82" s="42">
        <f>IF(AB82&lt;=0,0,MIN(AB82+AC82,Plan!$E$28+AA82))</f>
        <v/>
      </c>
      <c r="AE82" s="44">
        <f>MAX(0,AB82+AC82-AD82)</f>
        <v/>
      </c>
      <c r="AF82" s="45">
        <f>AA82-IF(AB82&lt;=0,0,MAX(0,AD82-Plan!$E$28))</f>
        <v/>
      </c>
      <c r="AG82" s="44">
        <f>F82+K82+P82+U82+Z82+AE82</f>
        <v/>
      </c>
    </row>
    <row r="83">
      <c r="A83" s="46" t="n">
        <v>76</v>
      </c>
      <c r="B83" s="47">
        <f>EDATE(Plan!$C$18,75)</f>
        <v/>
      </c>
      <c r="C83" s="48">
        <f>F82</f>
        <v/>
      </c>
      <c r="D83" s="49">
        <f>IF(C83&gt;0,C83*Plan!$D$23/100/12,0)</f>
        <v/>
      </c>
      <c r="E83" s="48">
        <f>IF(C83&lt;=0,0,MIN(C83+D83,Plan!$E$23+(Plan!$C$17+IF(C83&lt;=0,Plan!$E$23,MAX(0,Plan!$E$23-(C83+D83)))+IF(H83&lt;=0,Plan!$E$24,MAX(0,Plan!$E$24-(H83+I83)))+IF(M83&lt;=0,Plan!$E$25,MAX(0,Plan!$E$25-(M83+N83)))+IF(R83&lt;=0,Plan!$E$26,MAX(0,Plan!$E$26-(R83+S83)))+IF(W83&lt;=0,Plan!$E$27,MAX(0,Plan!$E$27-(W83+X83)))+IF(AB83&lt;=0,Plan!$E$28,MAX(0,Plan!$E$28-(AB83+AC83))))))</f>
        <v/>
      </c>
      <c r="F83" s="50">
        <f>MAX(0,C83+D83-E83)</f>
        <v/>
      </c>
      <c r="G83" s="51">
        <f>(Plan!$C$17+IF(C83&lt;=0,Plan!$E$23,MAX(0,Plan!$E$23-(C83+D83)))+IF(H83&lt;=0,Plan!$E$24,MAX(0,Plan!$E$24-(H83+I83)))+IF(M83&lt;=0,Plan!$E$25,MAX(0,Plan!$E$25-(M83+N83)))+IF(R83&lt;=0,Plan!$E$26,MAX(0,Plan!$E$26-(R83+S83)))+IF(W83&lt;=0,Plan!$E$27,MAX(0,Plan!$E$27-(W83+X83)))+IF(AB83&lt;=0,Plan!$E$28,MAX(0,Plan!$E$28-(AB83+AC83))))-IF(C83&lt;=0,0,MAX(0,E83-Plan!$E$23))</f>
        <v/>
      </c>
      <c r="H83" s="48">
        <f>K82</f>
        <v/>
      </c>
      <c r="I83" s="49">
        <f>IF(H83&gt;0,H83*Plan!$D$24/100/12,0)</f>
        <v/>
      </c>
      <c r="J83" s="48">
        <f>IF(H83&lt;=0,0,MIN(H83+I83,Plan!$E$24+G83))</f>
        <v/>
      </c>
      <c r="K83" s="50">
        <f>MAX(0,H83+I83-J83)</f>
        <v/>
      </c>
      <c r="L83" s="51">
        <f>G83-IF(H83&lt;=0,0,MAX(0,J83-Plan!$E$24))</f>
        <v/>
      </c>
      <c r="M83" s="48">
        <f>P82</f>
        <v/>
      </c>
      <c r="N83" s="49">
        <f>IF(M83&gt;0,M83*Plan!$D$25/100/12,0)</f>
        <v/>
      </c>
      <c r="O83" s="48">
        <f>IF(M83&lt;=0,0,MIN(M83+N83,Plan!$E$25+L83))</f>
        <v/>
      </c>
      <c r="P83" s="50">
        <f>MAX(0,M83+N83-O83)</f>
        <v/>
      </c>
      <c r="Q83" s="51">
        <f>L83-IF(M83&lt;=0,0,MAX(0,O83-Plan!$E$25))</f>
        <v/>
      </c>
      <c r="R83" s="48">
        <f>U82</f>
        <v/>
      </c>
      <c r="S83" s="49">
        <f>IF(R83&gt;0,R83*Plan!$D$26/100/12,0)</f>
        <v/>
      </c>
      <c r="T83" s="48">
        <f>IF(R83&lt;=0,0,MIN(R83+S83,Plan!$E$26+Q83))</f>
        <v/>
      </c>
      <c r="U83" s="50">
        <f>MAX(0,R83+S83-T83)</f>
        <v/>
      </c>
      <c r="V83" s="51">
        <f>Q83-IF(R83&lt;=0,0,MAX(0,T83-Plan!$E$26))</f>
        <v/>
      </c>
      <c r="W83" s="48">
        <f>Z82</f>
        <v/>
      </c>
      <c r="X83" s="49">
        <f>IF(W83&gt;0,W83*Plan!$D$27/100/12,0)</f>
        <v/>
      </c>
      <c r="Y83" s="48">
        <f>IF(W83&lt;=0,0,MIN(W83+X83,Plan!$E$27+V83))</f>
        <v/>
      </c>
      <c r="Z83" s="50">
        <f>MAX(0,W83+X83-Y83)</f>
        <v/>
      </c>
      <c r="AA83" s="51">
        <f>V83-IF(W83&lt;=0,0,MAX(0,Y83-Plan!$E$27))</f>
        <v/>
      </c>
      <c r="AB83" s="48">
        <f>AE82</f>
        <v/>
      </c>
      <c r="AC83" s="49">
        <f>IF(AB83&gt;0,AB83*Plan!$D$28/100/12,0)</f>
        <v/>
      </c>
      <c r="AD83" s="48">
        <f>IF(AB83&lt;=0,0,MIN(AB83+AC83,Plan!$E$28+AA83))</f>
        <v/>
      </c>
      <c r="AE83" s="50">
        <f>MAX(0,AB83+AC83-AD83)</f>
        <v/>
      </c>
      <c r="AF83" s="51">
        <f>AA83-IF(AB83&lt;=0,0,MAX(0,AD83-Plan!$E$28))</f>
        <v/>
      </c>
      <c r="AG83" s="50">
        <f>F83+K83+P83+U83+Z83+AE83</f>
        <v/>
      </c>
    </row>
    <row r="84">
      <c r="A84" s="40" t="n">
        <v>77</v>
      </c>
      <c r="B84" s="41">
        <f>EDATE(Plan!$C$18,76)</f>
        <v/>
      </c>
      <c r="C84" s="42">
        <f>F83</f>
        <v/>
      </c>
      <c r="D84" s="43">
        <f>IF(C84&gt;0,C84*Plan!$D$23/100/12,0)</f>
        <v/>
      </c>
      <c r="E84" s="42">
        <f>IF(C84&lt;=0,0,MIN(C84+D84,Plan!$E$23+(Plan!$C$17+IF(C84&lt;=0,Plan!$E$23,MAX(0,Plan!$E$23-(C84+D84)))+IF(H84&lt;=0,Plan!$E$24,MAX(0,Plan!$E$24-(H84+I84)))+IF(M84&lt;=0,Plan!$E$25,MAX(0,Plan!$E$25-(M84+N84)))+IF(R84&lt;=0,Plan!$E$26,MAX(0,Plan!$E$26-(R84+S84)))+IF(W84&lt;=0,Plan!$E$27,MAX(0,Plan!$E$27-(W84+X84)))+IF(AB84&lt;=0,Plan!$E$28,MAX(0,Plan!$E$28-(AB84+AC84))))))</f>
        <v/>
      </c>
      <c r="F84" s="44">
        <f>MAX(0,C84+D84-E84)</f>
        <v/>
      </c>
      <c r="G84" s="45">
        <f>(Plan!$C$17+IF(C84&lt;=0,Plan!$E$23,MAX(0,Plan!$E$23-(C84+D84)))+IF(H84&lt;=0,Plan!$E$24,MAX(0,Plan!$E$24-(H84+I84)))+IF(M84&lt;=0,Plan!$E$25,MAX(0,Plan!$E$25-(M84+N84)))+IF(R84&lt;=0,Plan!$E$26,MAX(0,Plan!$E$26-(R84+S84)))+IF(W84&lt;=0,Plan!$E$27,MAX(0,Plan!$E$27-(W84+X84)))+IF(AB84&lt;=0,Plan!$E$28,MAX(0,Plan!$E$28-(AB84+AC84))))-IF(C84&lt;=0,0,MAX(0,E84-Plan!$E$23))</f>
        <v/>
      </c>
      <c r="H84" s="42">
        <f>K83</f>
        <v/>
      </c>
      <c r="I84" s="43">
        <f>IF(H84&gt;0,H84*Plan!$D$24/100/12,0)</f>
        <v/>
      </c>
      <c r="J84" s="42">
        <f>IF(H84&lt;=0,0,MIN(H84+I84,Plan!$E$24+G84))</f>
        <v/>
      </c>
      <c r="K84" s="44">
        <f>MAX(0,H84+I84-J84)</f>
        <v/>
      </c>
      <c r="L84" s="45">
        <f>G84-IF(H84&lt;=0,0,MAX(0,J84-Plan!$E$24))</f>
        <v/>
      </c>
      <c r="M84" s="42">
        <f>P83</f>
        <v/>
      </c>
      <c r="N84" s="43">
        <f>IF(M84&gt;0,M84*Plan!$D$25/100/12,0)</f>
        <v/>
      </c>
      <c r="O84" s="42">
        <f>IF(M84&lt;=0,0,MIN(M84+N84,Plan!$E$25+L84))</f>
        <v/>
      </c>
      <c r="P84" s="44">
        <f>MAX(0,M84+N84-O84)</f>
        <v/>
      </c>
      <c r="Q84" s="45">
        <f>L84-IF(M84&lt;=0,0,MAX(0,O84-Plan!$E$25))</f>
        <v/>
      </c>
      <c r="R84" s="42">
        <f>U83</f>
        <v/>
      </c>
      <c r="S84" s="43">
        <f>IF(R84&gt;0,R84*Plan!$D$26/100/12,0)</f>
        <v/>
      </c>
      <c r="T84" s="42">
        <f>IF(R84&lt;=0,0,MIN(R84+S84,Plan!$E$26+Q84))</f>
        <v/>
      </c>
      <c r="U84" s="44">
        <f>MAX(0,R84+S84-T84)</f>
        <v/>
      </c>
      <c r="V84" s="45">
        <f>Q84-IF(R84&lt;=0,0,MAX(0,T84-Plan!$E$26))</f>
        <v/>
      </c>
      <c r="W84" s="42">
        <f>Z83</f>
        <v/>
      </c>
      <c r="X84" s="43">
        <f>IF(W84&gt;0,W84*Plan!$D$27/100/12,0)</f>
        <v/>
      </c>
      <c r="Y84" s="42">
        <f>IF(W84&lt;=0,0,MIN(W84+X84,Plan!$E$27+V84))</f>
        <v/>
      </c>
      <c r="Z84" s="44">
        <f>MAX(0,W84+X84-Y84)</f>
        <v/>
      </c>
      <c r="AA84" s="45">
        <f>V84-IF(W84&lt;=0,0,MAX(0,Y84-Plan!$E$27))</f>
        <v/>
      </c>
      <c r="AB84" s="42">
        <f>AE83</f>
        <v/>
      </c>
      <c r="AC84" s="43">
        <f>IF(AB84&gt;0,AB84*Plan!$D$28/100/12,0)</f>
        <v/>
      </c>
      <c r="AD84" s="42">
        <f>IF(AB84&lt;=0,0,MIN(AB84+AC84,Plan!$E$28+AA84))</f>
        <v/>
      </c>
      <c r="AE84" s="44">
        <f>MAX(0,AB84+AC84-AD84)</f>
        <v/>
      </c>
      <c r="AF84" s="45">
        <f>AA84-IF(AB84&lt;=0,0,MAX(0,AD84-Plan!$E$28))</f>
        <v/>
      </c>
      <c r="AG84" s="44">
        <f>F84+K84+P84+U84+Z84+AE84</f>
        <v/>
      </c>
    </row>
    <row r="85">
      <c r="A85" s="46" t="n">
        <v>78</v>
      </c>
      <c r="B85" s="47">
        <f>EDATE(Plan!$C$18,77)</f>
        <v/>
      </c>
      <c r="C85" s="48">
        <f>F84</f>
        <v/>
      </c>
      <c r="D85" s="49">
        <f>IF(C85&gt;0,C85*Plan!$D$23/100/12,0)</f>
        <v/>
      </c>
      <c r="E85" s="48">
        <f>IF(C85&lt;=0,0,MIN(C85+D85,Plan!$E$23+(Plan!$C$17+IF(C85&lt;=0,Plan!$E$23,MAX(0,Plan!$E$23-(C85+D85)))+IF(H85&lt;=0,Plan!$E$24,MAX(0,Plan!$E$24-(H85+I85)))+IF(M85&lt;=0,Plan!$E$25,MAX(0,Plan!$E$25-(M85+N85)))+IF(R85&lt;=0,Plan!$E$26,MAX(0,Plan!$E$26-(R85+S85)))+IF(W85&lt;=0,Plan!$E$27,MAX(0,Plan!$E$27-(W85+X85)))+IF(AB85&lt;=0,Plan!$E$28,MAX(0,Plan!$E$28-(AB85+AC85))))))</f>
        <v/>
      </c>
      <c r="F85" s="50">
        <f>MAX(0,C85+D85-E85)</f>
        <v/>
      </c>
      <c r="G85" s="51">
        <f>(Plan!$C$17+IF(C85&lt;=0,Plan!$E$23,MAX(0,Plan!$E$23-(C85+D85)))+IF(H85&lt;=0,Plan!$E$24,MAX(0,Plan!$E$24-(H85+I85)))+IF(M85&lt;=0,Plan!$E$25,MAX(0,Plan!$E$25-(M85+N85)))+IF(R85&lt;=0,Plan!$E$26,MAX(0,Plan!$E$26-(R85+S85)))+IF(W85&lt;=0,Plan!$E$27,MAX(0,Plan!$E$27-(W85+X85)))+IF(AB85&lt;=0,Plan!$E$28,MAX(0,Plan!$E$28-(AB85+AC85))))-IF(C85&lt;=0,0,MAX(0,E85-Plan!$E$23))</f>
        <v/>
      </c>
      <c r="H85" s="48">
        <f>K84</f>
        <v/>
      </c>
      <c r="I85" s="49">
        <f>IF(H85&gt;0,H85*Plan!$D$24/100/12,0)</f>
        <v/>
      </c>
      <c r="J85" s="48">
        <f>IF(H85&lt;=0,0,MIN(H85+I85,Plan!$E$24+G85))</f>
        <v/>
      </c>
      <c r="K85" s="50">
        <f>MAX(0,H85+I85-J85)</f>
        <v/>
      </c>
      <c r="L85" s="51">
        <f>G85-IF(H85&lt;=0,0,MAX(0,J85-Plan!$E$24))</f>
        <v/>
      </c>
      <c r="M85" s="48">
        <f>P84</f>
        <v/>
      </c>
      <c r="N85" s="49">
        <f>IF(M85&gt;0,M85*Plan!$D$25/100/12,0)</f>
        <v/>
      </c>
      <c r="O85" s="48">
        <f>IF(M85&lt;=0,0,MIN(M85+N85,Plan!$E$25+L85))</f>
        <v/>
      </c>
      <c r="P85" s="50">
        <f>MAX(0,M85+N85-O85)</f>
        <v/>
      </c>
      <c r="Q85" s="51">
        <f>L85-IF(M85&lt;=0,0,MAX(0,O85-Plan!$E$25))</f>
        <v/>
      </c>
      <c r="R85" s="48">
        <f>U84</f>
        <v/>
      </c>
      <c r="S85" s="49">
        <f>IF(R85&gt;0,R85*Plan!$D$26/100/12,0)</f>
        <v/>
      </c>
      <c r="T85" s="48">
        <f>IF(R85&lt;=0,0,MIN(R85+S85,Plan!$E$26+Q85))</f>
        <v/>
      </c>
      <c r="U85" s="50">
        <f>MAX(0,R85+S85-T85)</f>
        <v/>
      </c>
      <c r="V85" s="51">
        <f>Q85-IF(R85&lt;=0,0,MAX(0,T85-Plan!$E$26))</f>
        <v/>
      </c>
      <c r="W85" s="48">
        <f>Z84</f>
        <v/>
      </c>
      <c r="X85" s="49">
        <f>IF(W85&gt;0,W85*Plan!$D$27/100/12,0)</f>
        <v/>
      </c>
      <c r="Y85" s="48">
        <f>IF(W85&lt;=0,0,MIN(W85+X85,Plan!$E$27+V85))</f>
        <v/>
      </c>
      <c r="Z85" s="50">
        <f>MAX(0,W85+X85-Y85)</f>
        <v/>
      </c>
      <c r="AA85" s="51">
        <f>V85-IF(W85&lt;=0,0,MAX(0,Y85-Plan!$E$27))</f>
        <v/>
      </c>
      <c r="AB85" s="48">
        <f>AE84</f>
        <v/>
      </c>
      <c r="AC85" s="49">
        <f>IF(AB85&gt;0,AB85*Plan!$D$28/100/12,0)</f>
        <v/>
      </c>
      <c r="AD85" s="48">
        <f>IF(AB85&lt;=0,0,MIN(AB85+AC85,Plan!$E$28+AA85))</f>
        <v/>
      </c>
      <c r="AE85" s="50">
        <f>MAX(0,AB85+AC85-AD85)</f>
        <v/>
      </c>
      <c r="AF85" s="51">
        <f>AA85-IF(AB85&lt;=0,0,MAX(0,AD85-Plan!$E$28))</f>
        <v/>
      </c>
      <c r="AG85" s="50">
        <f>F85+K85+P85+U85+Z85+AE85</f>
        <v/>
      </c>
    </row>
    <row r="86">
      <c r="A86" s="40" t="n">
        <v>79</v>
      </c>
      <c r="B86" s="41">
        <f>EDATE(Plan!$C$18,78)</f>
        <v/>
      </c>
      <c r="C86" s="42">
        <f>F85</f>
        <v/>
      </c>
      <c r="D86" s="43">
        <f>IF(C86&gt;0,C86*Plan!$D$23/100/12,0)</f>
        <v/>
      </c>
      <c r="E86" s="42">
        <f>IF(C86&lt;=0,0,MIN(C86+D86,Plan!$E$23+(Plan!$C$17+IF(C86&lt;=0,Plan!$E$23,MAX(0,Plan!$E$23-(C86+D86)))+IF(H86&lt;=0,Plan!$E$24,MAX(0,Plan!$E$24-(H86+I86)))+IF(M86&lt;=0,Plan!$E$25,MAX(0,Plan!$E$25-(M86+N86)))+IF(R86&lt;=0,Plan!$E$26,MAX(0,Plan!$E$26-(R86+S86)))+IF(W86&lt;=0,Plan!$E$27,MAX(0,Plan!$E$27-(W86+X86)))+IF(AB86&lt;=0,Plan!$E$28,MAX(0,Plan!$E$28-(AB86+AC86))))))</f>
        <v/>
      </c>
      <c r="F86" s="44">
        <f>MAX(0,C86+D86-E86)</f>
        <v/>
      </c>
      <c r="G86" s="45">
        <f>(Plan!$C$17+IF(C86&lt;=0,Plan!$E$23,MAX(0,Plan!$E$23-(C86+D86)))+IF(H86&lt;=0,Plan!$E$24,MAX(0,Plan!$E$24-(H86+I86)))+IF(M86&lt;=0,Plan!$E$25,MAX(0,Plan!$E$25-(M86+N86)))+IF(R86&lt;=0,Plan!$E$26,MAX(0,Plan!$E$26-(R86+S86)))+IF(W86&lt;=0,Plan!$E$27,MAX(0,Plan!$E$27-(W86+X86)))+IF(AB86&lt;=0,Plan!$E$28,MAX(0,Plan!$E$28-(AB86+AC86))))-IF(C86&lt;=0,0,MAX(0,E86-Plan!$E$23))</f>
        <v/>
      </c>
      <c r="H86" s="42">
        <f>K85</f>
        <v/>
      </c>
      <c r="I86" s="43">
        <f>IF(H86&gt;0,H86*Plan!$D$24/100/12,0)</f>
        <v/>
      </c>
      <c r="J86" s="42">
        <f>IF(H86&lt;=0,0,MIN(H86+I86,Plan!$E$24+G86))</f>
        <v/>
      </c>
      <c r="K86" s="44">
        <f>MAX(0,H86+I86-J86)</f>
        <v/>
      </c>
      <c r="L86" s="45">
        <f>G86-IF(H86&lt;=0,0,MAX(0,J86-Plan!$E$24))</f>
        <v/>
      </c>
      <c r="M86" s="42">
        <f>P85</f>
        <v/>
      </c>
      <c r="N86" s="43">
        <f>IF(M86&gt;0,M86*Plan!$D$25/100/12,0)</f>
        <v/>
      </c>
      <c r="O86" s="42">
        <f>IF(M86&lt;=0,0,MIN(M86+N86,Plan!$E$25+L86))</f>
        <v/>
      </c>
      <c r="P86" s="44">
        <f>MAX(0,M86+N86-O86)</f>
        <v/>
      </c>
      <c r="Q86" s="45">
        <f>L86-IF(M86&lt;=0,0,MAX(0,O86-Plan!$E$25))</f>
        <v/>
      </c>
      <c r="R86" s="42">
        <f>U85</f>
        <v/>
      </c>
      <c r="S86" s="43">
        <f>IF(R86&gt;0,R86*Plan!$D$26/100/12,0)</f>
        <v/>
      </c>
      <c r="T86" s="42">
        <f>IF(R86&lt;=0,0,MIN(R86+S86,Plan!$E$26+Q86))</f>
        <v/>
      </c>
      <c r="U86" s="44">
        <f>MAX(0,R86+S86-T86)</f>
        <v/>
      </c>
      <c r="V86" s="45">
        <f>Q86-IF(R86&lt;=0,0,MAX(0,T86-Plan!$E$26))</f>
        <v/>
      </c>
      <c r="W86" s="42">
        <f>Z85</f>
        <v/>
      </c>
      <c r="X86" s="43">
        <f>IF(W86&gt;0,W86*Plan!$D$27/100/12,0)</f>
        <v/>
      </c>
      <c r="Y86" s="42">
        <f>IF(W86&lt;=0,0,MIN(W86+X86,Plan!$E$27+V86))</f>
        <v/>
      </c>
      <c r="Z86" s="44">
        <f>MAX(0,W86+X86-Y86)</f>
        <v/>
      </c>
      <c r="AA86" s="45">
        <f>V86-IF(W86&lt;=0,0,MAX(0,Y86-Plan!$E$27))</f>
        <v/>
      </c>
      <c r="AB86" s="42">
        <f>AE85</f>
        <v/>
      </c>
      <c r="AC86" s="43">
        <f>IF(AB86&gt;0,AB86*Plan!$D$28/100/12,0)</f>
        <v/>
      </c>
      <c r="AD86" s="42">
        <f>IF(AB86&lt;=0,0,MIN(AB86+AC86,Plan!$E$28+AA86))</f>
        <v/>
      </c>
      <c r="AE86" s="44">
        <f>MAX(0,AB86+AC86-AD86)</f>
        <v/>
      </c>
      <c r="AF86" s="45">
        <f>AA86-IF(AB86&lt;=0,0,MAX(0,AD86-Plan!$E$28))</f>
        <v/>
      </c>
      <c r="AG86" s="44">
        <f>F86+K86+P86+U86+Z86+AE86</f>
        <v/>
      </c>
    </row>
    <row r="87">
      <c r="A87" s="46" t="n">
        <v>80</v>
      </c>
      <c r="B87" s="47">
        <f>EDATE(Plan!$C$18,79)</f>
        <v/>
      </c>
      <c r="C87" s="48">
        <f>F86</f>
        <v/>
      </c>
      <c r="D87" s="49">
        <f>IF(C87&gt;0,C87*Plan!$D$23/100/12,0)</f>
        <v/>
      </c>
      <c r="E87" s="48">
        <f>IF(C87&lt;=0,0,MIN(C87+D87,Plan!$E$23+(Plan!$C$17+IF(C87&lt;=0,Plan!$E$23,MAX(0,Plan!$E$23-(C87+D87)))+IF(H87&lt;=0,Plan!$E$24,MAX(0,Plan!$E$24-(H87+I87)))+IF(M87&lt;=0,Plan!$E$25,MAX(0,Plan!$E$25-(M87+N87)))+IF(R87&lt;=0,Plan!$E$26,MAX(0,Plan!$E$26-(R87+S87)))+IF(W87&lt;=0,Plan!$E$27,MAX(0,Plan!$E$27-(W87+X87)))+IF(AB87&lt;=0,Plan!$E$28,MAX(0,Plan!$E$28-(AB87+AC87))))))</f>
        <v/>
      </c>
      <c r="F87" s="50">
        <f>MAX(0,C87+D87-E87)</f>
        <v/>
      </c>
      <c r="G87" s="51">
        <f>(Plan!$C$17+IF(C87&lt;=0,Plan!$E$23,MAX(0,Plan!$E$23-(C87+D87)))+IF(H87&lt;=0,Plan!$E$24,MAX(0,Plan!$E$24-(H87+I87)))+IF(M87&lt;=0,Plan!$E$25,MAX(0,Plan!$E$25-(M87+N87)))+IF(R87&lt;=0,Plan!$E$26,MAX(0,Plan!$E$26-(R87+S87)))+IF(W87&lt;=0,Plan!$E$27,MAX(0,Plan!$E$27-(W87+X87)))+IF(AB87&lt;=0,Plan!$E$28,MAX(0,Plan!$E$28-(AB87+AC87))))-IF(C87&lt;=0,0,MAX(0,E87-Plan!$E$23))</f>
        <v/>
      </c>
      <c r="H87" s="48">
        <f>K86</f>
        <v/>
      </c>
      <c r="I87" s="49">
        <f>IF(H87&gt;0,H87*Plan!$D$24/100/12,0)</f>
        <v/>
      </c>
      <c r="J87" s="48">
        <f>IF(H87&lt;=0,0,MIN(H87+I87,Plan!$E$24+G87))</f>
        <v/>
      </c>
      <c r="K87" s="50">
        <f>MAX(0,H87+I87-J87)</f>
        <v/>
      </c>
      <c r="L87" s="51">
        <f>G87-IF(H87&lt;=0,0,MAX(0,J87-Plan!$E$24))</f>
        <v/>
      </c>
      <c r="M87" s="48">
        <f>P86</f>
        <v/>
      </c>
      <c r="N87" s="49">
        <f>IF(M87&gt;0,M87*Plan!$D$25/100/12,0)</f>
        <v/>
      </c>
      <c r="O87" s="48">
        <f>IF(M87&lt;=0,0,MIN(M87+N87,Plan!$E$25+L87))</f>
        <v/>
      </c>
      <c r="P87" s="50">
        <f>MAX(0,M87+N87-O87)</f>
        <v/>
      </c>
      <c r="Q87" s="51">
        <f>L87-IF(M87&lt;=0,0,MAX(0,O87-Plan!$E$25))</f>
        <v/>
      </c>
      <c r="R87" s="48">
        <f>U86</f>
        <v/>
      </c>
      <c r="S87" s="49">
        <f>IF(R87&gt;0,R87*Plan!$D$26/100/12,0)</f>
        <v/>
      </c>
      <c r="T87" s="48">
        <f>IF(R87&lt;=0,0,MIN(R87+S87,Plan!$E$26+Q87))</f>
        <v/>
      </c>
      <c r="U87" s="50">
        <f>MAX(0,R87+S87-T87)</f>
        <v/>
      </c>
      <c r="V87" s="51">
        <f>Q87-IF(R87&lt;=0,0,MAX(0,T87-Plan!$E$26))</f>
        <v/>
      </c>
      <c r="W87" s="48">
        <f>Z86</f>
        <v/>
      </c>
      <c r="X87" s="49">
        <f>IF(W87&gt;0,W87*Plan!$D$27/100/12,0)</f>
        <v/>
      </c>
      <c r="Y87" s="48">
        <f>IF(W87&lt;=0,0,MIN(W87+X87,Plan!$E$27+V87))</f>
        <v/>
      </c>
      <c r="Z87" s="50">
        <f>MAX(0,W87+X87-Y87)</f>
        <v/>
      </c>
      <c r="AA87" s="51">
        <f>V87-IF(W87&lt;=0,0,MAX(0,Y87-Plan!$E$27))</f>
        <v/>
      </c>
      <c r="AB87" s="48">
        <f>AE86</f>
        <v/>
      </c>
      <c r="AC87" s="49">
        <f>IF(AB87&gt;0,AB87*Plan!$D$28/100/12,0)</f>
        <v/>
      </c>
      <c r="AD87" s="48">
        <f>IF(AB87&lt;=0,0,MIN(AB87+AC87,Plan!$E$28+AA87))</f>
        <v/>
      </c>
      <c r="AE87" s="50">
        <f>MAX(0,AB87+AC87-AD87)</f>
        <v/>
      </c>
      <c r="AF87" s="51">
        <f>AA87-IF(AB87&lt;=0,0,MAX(0,AD87-Plan!$E$28))</f>
        <v/>
      </c>
      <c r="AG87" s="50">
        <f>F87+K87+P87+U87+Z87+AE87</f>
        <v/>
      </c>
    </row>
    <row r="88">
      <c r="A88" s="40" t="n">
        <v>81</v>
      </c>
      <c r="B88" s="41">
        <f>EDATE(Plan!$C$18,80)</f>
        <v/>
      </c>
      <c r="C88" s="42">
        <f>F87</f>
        <v/>
      </c>
      <c r="D88" s="43">
        <f>IF(C88&gt;0,C88*Plan!$D$23/100/12,0)</f>
        <v/>
      </c>
      <c r="E88" s="42">
        <f>IF(C88&lt;=0,0,MIN(C88+D88,Plan!$E$23+(Plan!$C$17+IF(C88&lt;=0,Plan!$E$23,MAX(0,Plan!$E$23-(C88+D88)))+IF(H88&lt;=0,Plan!$E$24,MAX(0,Plan!$E$24-(H88+I88)))+IF(M88&lt;=0,Plan!$E$25,MAX(0,Plan!$E$25-(M88+N88)))+IF(R88&lt;=0,Plan!$E$26,MAX(0,Plan!$E$26-(R88+S88)))+IF(W88&lt;=0,Plan!$E$27,MAX(0,Plan!$E$27-(W88+X88)))+IF(AB88&lt;=0,Plan!$E$28,MAX(0,Plan!$E$28-(AB88+AC88))))))</f>
        <v/>
      </c>
      <c r="F88" s="44">
        <f>MAX(0,C88+D88-E88)</f>
        <v/>
      </c>
      <c r="G88" s="45">
        <f>(Plan!$C$17+IF(C88&lt;=0,Plan!$E$23,MAX(0,Plan!$E$23-(C88+D88)))+IF(H88&lt;=0,Plan!$E$24,MAX(0,Plan!$E$24-(H88+I88)))+IF(M88&lt;=0,Plan!$E$25,MAX(0,Plan!$E$25-(M88+N88)))+IF(R88&lt;=0,Plan!$E$26,MAX(0,Plan!$E$26-(R88+S88)))+IF(W88&lt;=0,Plan!$E$27,MAX(0,Plan!$E$27-(W88+X88)))+IF(AB88&lt;=0,Plan!$E$28,MAX(0,Plan!$E$28-(AB88+AC88))))-IF(C88&lt;=0,0,MAX(0,E88-Plan!$E$23))</f>
        <v/>
      </c>
      <c r="H88" s="42">
        <f>K87</f>
        <v/>
      </c>
      <c r="I88" s="43">
        <f>IF(H88&gt;0,H88*Plan!$D$24/100/12,0)</f>
        <v/>
      </c>
      <c r="J88" s="42">
        <f>IF(H88&lt;=0,0,MIN(H88+I88,Plan!$E$24+G88))</f>
        <v/>
      </c>
      <c r="K88" s="44">
        <f>MAX(0,H88+I88-J88)</f>
        <v/>
      </c>
      <c r="L88" s="45">
        <f>G88-IF(H88&lt;=0,0,MAX(0,J88-Plan!$E$24))</f>
        <v/>
      </c>
      <c r="M88" s="42">
        <f>P87</f>
        <v/>
      </c>
      <c r="N88" s="43">
        <f>IF(M88&gt;0,M88*Plan!$D$25/100/12,0)</f>
        <v/>
      </c>
      <c r="O88" s="42">
        <f>IF(M88&lt;=0,0,MIN(M88+N88,Plan!$E$25+L88))</f>
        <v/>
      </c>
      <c r="P88" s="44">
        <f>MAX(0,M88+N88-O88)</f>
        <v/>
      </c>
      <c r="Q88" s="45">
        <f>L88-IF(M88&lt;=0,0,MAX(0,O88-Plan!$E$25))</f>
        <v/>
      </c>
      <c r="R88" s="42">
        <f>U87</f>
        <v/>
      </c>
      <c r="S88" s="43">
        <f>IF(R88&gt;0,R88*Plan!$D$26/100/12,0)</f>
        <v/>
      </c>
      <c r="T88" s="42">
        <f>IF(R88&lt;=0,0,MIN(R88+S88,Plan!$E$26+Q88))</f>
        <v/>
      </c>
      <c r="U88" s="44">
        <f>MAX(0,R88+S88-T88)</f>
        <v/>
      </c>
      <c r="V88" s="45">
        <f>Q88-IF(R88&lt;=0,0,MAX(0,T88-Plan!$E$26))</f>
        <v/>
      </c>
      <c r="W88" s="42">
        <f>Z87</f>
        <v/>
      </c>
      <c r="X88" s="43">
        <f>IF(W88&gt;0,W88*Plan!$D$27/100/12,0)</f>
        <v/>
      </c>
      <c r="Y88" s="42">
        <f>IF(W88&lt;=0,0,MIN(W88+X88,Plan!$E$27+V88))</f>
        <v/>
      </c>
      <c r="Z88" s="44">
        <f>MAX(0,W88+X88-Y88)</f>
        <v/>
      </c>
      <c r="AA88" s="45">
        <f>V88-IF(W88&lt;=0,0,MAX(0,Y88-Plan!$E$27))</f>
        <v/>
      </c>
      <c r="AB88" s="42">
        <f>AE87</f>
        <v/>
      </c>
      <c r="AC88" s="43">
        <f>IF(AB88&gt;0,AB88*Plan!$D$28/100/12,0)</f>
        <v/>
      </c>
      <c r="AD88" s="42">
        <f>IF(AB88&lt;=0,0,MIN(AB88+AC88,Plan!$E$28+AA88))</f>
        <v/>
      </c>
      <c r="AE88" s="44">
        <f>MAX(0,AB88+AC88-AD88)</f>
        <v/>
      </c>
      <c r="AF88" s="45">
        <f>AA88-IF(AB88&lt;=0,0,MAX(0,AD88-Plan!$E$28))</f>
        <v/>
      </c>
      <c r="AG88" s="44">
        <f>F88+K88+P88+U88+Z88+AE88</f>
        <v/>
      </c>
    </row>
    <row r="89">
      <c r="A89" s="46" t="n">
        <v>82</v>
      </c>
      <c r="B89" s="47">
        <f>EDATE(Plan!$C$18,81)</f>
        <v/>
      </c>
      <c r="C89" s="48">
        <f>F88</f>
        <v/>
      </c>
      <c r="D89" s="49">
        <f>IF(C89&gt;0,C89*Plan!$D$23/100/12,0)</f>
        <v/>
      </c>
      <c r="E89" s="48">
        <f>IF(C89&lt;=0,0,MIN(C89+D89,Plan!$E$23+(Plan!$C$17+IF(C89&lt;=0,Plan!$E$23,MAX(0,Plan!$E$23-(C89+D89)))+IF(H89&lt;=0,Plan!$E$24,MAX(0,Plan!$E$24-(H89+I89)))+IF(M89&lt;=0,Plan!$E$25,MAX(0,Plan!$E$25-(M89+N89)))+IF(R89&lt;=0,Plan!$E$26,MAX(0,Plan!$E$26-(R89+S89)))+IF(W89&lt;=0,Plan!$E$27,MAX(0,Plan!$E$27-(W89+X89)))+IF(AB89&lt;=0,Plan!$E$28,MAX(0,Plan!$E$28-(AB89+AC89))))))</f>
        <v/>
      </c>
      <c r="F89" s="50">
        <f>MAX(0,C89+D89-E89)</f>
        <v/>
      </c>
      <c r="G89" s="51">
        <f>(Plan!$C$17+IF(C89&lt;=0,Plan!$E$23,MAX(0,Plan!$E$23-(C89+D89)))+IF(H89&lt;=0,Plan!$E$24,MAX(0,Plan!$E$24-(H89+I89)))+IF(M89&lt;=0,Plan!$E$25,MAX(0,Plan!$E$25-(M89+N89)))+IF(R89&lt;=0,Plan!$E$26,MAX(0,Plan!$E$26-(R89+S89)))+IF(W89&lt;=0,Plan!$E$27,MAX(0,Plan!$E$27-(W89+X89)))+IF(AB89&lt;=0,Plan!$E$28,MAX(0,Plan!$E$28-(AB89+AC89))))-IF(C89&lt;=0,0,MAX(0,E89-Plan!$E$23))</f>
        <v/>
      </c>
      <c r="H89" s="48">
        <f>K88</f>
        <v/>
      </c>
      <c r="I89" s="49">
        <f>IF(H89&gt;0,H89*Plan!$D$24/100/12,0)</f>
        <v/>
      </c>
      <c r="J89" s="48">
        <f>IF(H89&lt;=0,0,MIN(H89+I89,Plan!$E$24+G89))</f>
        <v/>
      </c>
      <c r="K89" s="50">
        <f>MAX(0,H89+I89-J89)</f>
        <v/>
      </c>
      <c r="L89" s="51">
        <f>G89-IF(H89&lt;=0,0,MAX(0,J89-Plan!$E$24))</f>
        <v/>
      </c>
      <c r="M89" s="48">
        <f>P88</f>
        <v/>
      </c>
      <c r="N89" s="49">
        <f>IF(M89&gt;0,M89*Plan!$D$25/100/12,0)</f>
        <v/>
      </c>
      <c r="O89" s="48">
        <f>IF(M89&lt;=0,0,MIN(M89+N89,Plan!$E$25+L89))</f>
        <v/>
      </c>
      <c r="P89" s="50">
        <f>MAX(0,M89+N89-O89)</f>
        <v/>
      </c>
      <c r="Q89" s="51">
        <f>L89-IF(M89&lt;=0,0,MAX(0,O89-Plan!$E$25))</f>
        <v/>
      </c>
      <c r="R89" s="48">
        <f>U88</f>
        <v/>
      </c>
      <c r="S89" s="49">
        <f>IF(R89&gt;0,R89*Plan!$D$26/100/12,0)</f>
        <v/>
      </c>
      <c r="T89" s="48">
        <f>IF(R89&lt;=0,0,MIN(R89+S89,Plan!$E$26+Q89))</f>
        <v/>
      </c>
      <c r="U89" s="50">
        <f>MAX(0,R89+S89-T89)</f>
        <v/>
      </c>
      <c r="V89" s="51">
        <f>Q89-IF(R89&lt;=0,0,MAX(0,T89-Plan!$E$26))</f>
        <v/>
      </c>
      <c r="W89" s="48">
        <f>Z88</f>
        <v/>
      </c>
      <c r="X89" s="49">
        <f>IF(W89&gt;0,W89*Plan!$D$27/100/12,0)</f>
        <v/>
      </c>
      <c r="Y89" s="48">
        <f>IF(W89&lt;=0,0,MIN(W89+X89,Plan!$E$27+V89))</f>
        <v/>
      </c>
      <c r="Z89" s="50">
        <f>MAX(0,W89+X89-Y89)</f>
        <v/>
      </c>
      <c r="AA89" s="51">
        <f>V89-IF(W89&lt;=0,0,MAX(0,Y89-Plan!$E$27))</f>
        <v/>
      </c>
      <c r="AB89" s="48">
        <f>AE88</f>
        <v/>
      </c>
      <c r="AC89" s="49">
        <f>IF(AB89&gt;0,AB89*Plan!$D$28/100/12,0)</f>
        <v/>
      </c>
      <c r="AD89" s="48">
        <f>IF(AB89&lt;=0,0,MIN(AB89+AC89,Plan!$E$28+AA89))</f>
        <v/>
      </c>
      <c r="AE89" s="50">
        <f>MAX(0,AB89+AC89-AD89)</f>
        <v/>
      </c>
      <c r="AF89" s="51">
        <f>AA89-IF(AB89&lt;=0,0,MAX(0,AD89-Plan!$E$28))</f>
        <v/>
      </c>
      <c r="AG89" s="50">
        <f>F89+K89+P89+U89+Z89+AE89</f>
        <v/>
      </c>
    </row>
    <row r="90">
      <c r="A90" s="40" t="n">
        <v>83</v>
      </c>
      <c r="B90" s="41">
        <f>EDATE(Plan!$C$18,82)</f>
        <v/>
      </c>
      <c r="C90" s="42">
        <f>F89</f>
        <v/>
      </c>
      <c r="D90" s="43">
        <f>IF(C90&gt;0,C90*Plan!$D$23/100/12,0)</f>
        <v/>
      </c>
      <c r="E90" s="42">
        <f>IF(C90&lt;=0,0,MIN(C90+D90,Plan!$E$23+(Plan!$C$17+IF(C90&lt;=0,Plan!$E$23,MAX(0,Plan!$E$23-(C90+D90)))+IF(H90&lt;=0,Plan!$E$24,MAX(0,Plan!$E$24-(H90+I90)))+IF(M90&lt;=0,Plan!$E$25,MAX(0,Plan!$E$25-(M90+N90)))+IF(R90&lt;=0,Plan!$E$26,MAX(0,Plan!$E$26-(R90+S90)))+IF(W90&lt;=0,Plan!$E$27,MAX(0,Plan!$E$27-(W90+X90)))+IF(AB90&lt;=0,Plan!$E$28,MAX(0,Plan!$E$28-(AB90+AC90))))))</f>
        <v/>
      </c>
      <c r="F90" s="44">
        <f>MAX(0,C90+D90-E90)</f>
        <v/>
      </c>
      <c r="G90" s="45">
        <f>(Plan!$C$17+IF(C90&lt;=0,Plan!$E$23,MAX(0,Plan!$E$23-(C90+D90)))+IF(H90&lt;=0,Plan!$E$24,MAX(0,Plan!$E$24-(H90+I90)))+IF(M90&lt;=0,Plan!$E$25,MAX(0,Plan!$E$25-(M90+N90)))+IF(R90&lt;=0,Plan!$E$26,MAX(0,Plan!$E$26-(R90+S90)))+IF(W90&lt;=0,Plan!$E$27,MAX(0,Plan!$E$27-(W90+X90)))+IF(AB90&lt;=0,Plan!$E$28,MAX(0,Plan!$E$28-(AB90+AC90))))-IF(C90&lt;=0,0,MAX(0,E90-Plan!$E$23))</f>
        <v/>
      </c>
      <c r="H90" s="42">
        <f>K89</f>
        <v/>
      </c>
      <c r="I90" s="43">
        <f>IF(H90&gt;0,H90*Plan!$D$24/100/12,0)</f>
        <v/>
      </c>
      <c r="J90" s="42">
        <f>IF(H90&lt;=0,0,MIN(H90+I90,Plan!$E$24+G90))</f>
        <v/>
      </c>
      <c r="K90" s="44">
        <f>MAX(0,H90+I90-J90)</f>
        <v/>
      </c>
      <c r="L90" s="45">
        <f>G90-IF(H90&lt;=0,0,MAX(0,J90-Plan!$E$24))</f>
        <v/>
      </c>
      <c r="M90" s="42">
        <f>P89</f>
        <v/>
      </c>
      <c r="N90" s="43">
        <f>IF(M90&gt;0,M90*Plan!$D$25/100/12,0)</f>
        <v/>
      </c>
      <c r="O90" s="42">
        <f>IF(M90&lt;=0,0,MIN(M90+N90,Plan!$E$25+L90))</f>
        <v/>
      </c>
      <c r="P90" s="44">
        <f>MAX(0,M90+N90-O90)</f>
        <v/>
      </c>
      <c r="Q90" s="45">
        <f>L90-IF(M90&lt;=0,0,MAX(0,O90-Plan!$E$25))</f>
        <v/>
      </c>
      <c r="R90" s="42">
        <f>U89</f>
        <v/>
      </c>
      <c r="S90" s="43">
        <f>IF(R90&gt;0,R90*Plan!$D$26/100/12,0)</f>
        <v/>
      </c>
      <c r="T90" s="42">
        <f>IF(R90&lt;=0,0,MIN(R90+S90,Plan!$E$26+Q90))</f>
        <v/>
      </c>
      <c r="U90" s="44">
        <f>MAX(0,R90+S90-T90)</f>
        <v/>
      </c>
      <c r="V90" s="45">
        <f>Q90-IF(R90&lt;=0,0,MAX(0,T90-Plan!$E$26))</f>
        <v/>
      </c>
      <c r="W90" s="42">
        <f>Z89</f>
        <v/>
      </c>
      <c r="X90" s="43">
        <f>IF(W90&gt;0,W90*Plan!$D$27/100/12,0)</f>
        <v/>
      </c>
      <c r="Y90" s="42">
        <f>IF(W90&lt;=0,0,MIN(W90+X90,Plan!$E$27+V90))</f>
        <v/>
      </c>
      <c r="Z90" s="44">
        <f>MAX(0,W90+X90-Y90)</f>
        <v/>
      </c>
      <c r="AA90" s="45">
        <f>V90-IF(W90&lt;=0,0,MAX(0,Y90-Plan!$E$27))</f>
        <v/>
      </c>
      <c r="AB90" s="42">
        <f>AE89</f>
        <v/>
      </c>
      <c r="AC90" s="43">
        <f>IF(AB90&gt;0,AB90*Plan!$D$28/100/12,0)</f>
        <v/>
      </c>
      <c r="AD90" s="42">
        <f>IF(AB90&lt;=0,0,MIN(AB90+AC90,Plan!$E$28+AA90))</f>
        <v/>
      </c>
      <c r="AE90" s="44">
        <f>MAX(0,AB90+AC90-AD90)</f>
        <v/>
      </c>
      <c r="AF90" s="45">
        <f>AA90-IF(AB90&lt;=0,0,MAX(0,AD90-Plan!$E$28))</f>
        <v/>
      </c>
      <c r="AG90" s="44">
        <f>F90+K90+P90+U90+Z90+AE90</f>
        <v/>
      </c>
    </row>
    <row r="91">
      <c r="A91" s="46" t="n">
        <v>84</v>
      </c>
      <c r="B91" s="47">
        <f>EDATE(Plan!$C$18,83)</f>
        <v/>
      </c>
      <c r="C91" s="48">
        <f>F90</f>
        <v/>
      </c>
      <c r="D91" s="49">
        <f>IF(C91&gt;0,C91*Plan!$D$23/100/12,0)</f>
        <v/>
      </c>
      <c r="E91" s="48">
        <f>IF(C91&lt;=0,0,MIN(C91+D91,Plan!$E$23+(Plan!$C$17+IF(C91&lt;=0,Plan!$E$23,MAX(0,Plan!$E$23-(C91+D91)))+IF(H91&lt;=0,Plan!$E$24,MAX(0,Plan!$E$24-(H91+I91)))+IF(M91&lt;=0,Plan!$E$25,MAX(0,Plan!$E$25-(M91+N91)))+IF(R91&lt;=0,Plan!$E$26,MAX(0,Plan!$E$26-(R91+S91)))+IF(W91&lt;=0,Plan!$E$27,MAX(0,Plan!$E$27-(W91+X91)))+IF(AB91&lt;=0,Plan!$E$28,MAX(0,Plan!$E$28-(AB91+AC91))))))</f>
        <v/>
      </c>
      <c r="F91" s="50">
        <f>MAX(0,C91+D91-E91)</f>
        <v/>
      </c>
      <c r="G91" s="51">
        <f>(Plan!$C$17+IF(C91&lt;=0,Plan!$E$23,MAX(0,Plan!$E$23-(C91+D91)))+IF(H91&lt;=0,Plan!$E$24,MAX(0,Plan!$E$24-(H91+I91)))+IF(M91&lt;=0,Plan!$E$25,MAX(0,Plan!$E$25-(M91+N91)))+IF(R91&lt;=0,Plan!$E$26,MAX(0,Plan!$E$26-(R91+S91)))+IF(W91&lt;=0,Plan!$E$27,MAX(0,Plan!$E$27-(W91+X91)))+IF(AB91&lt;=0,Plan!$E$28,MAX(0,Plan!$E$28-(AB91+AC91))))-IF(C91&lt;=0,0,MAX(0,E91-Plan!$E$23))</f>
        <v/>
      </c>
      <c r="H91" s="48">
        <f>K90</f>
        <v/>
      </c>
      <c r="I91" s="49">
        <f>IF(H91&gt;0,H91*Plan!$D$24/100/12,0)</f>
        <v/>
      </c>
      <c r="J91" s="48">
        <f>IF(H91&lt;=0,0,MIN(H91+I91,Plan!$E$24+G91))</f>
        <v/>
      </c>
      <c r="K91" s="50">
        <f>MAX(0,H91+I91-J91)</f>
        <v/>
      </c>
      <c r="L91" s="51">
        <f>G91-IF(H91&lt;=0,0,MAX(0,J91-Plan!$E$24))</f>
        <v/>
      </c>
      <c r="M91" s="48">
        <f>P90</f>
        <v/>
      </c>
      <c r="N91" s="49">
        <f>IF(M91&gt;0,M91*Plan!$D$25/100/12,0)</f>
        <v/>
      </c>
      <c r="O91" s="48">
        <f>IF(M91&lt;=0,0,MIN(M91+N91,Plan!$E$25+L91))</f>
        <v/>
      </c>
      <c r="P91" s="50">
        <f>MAX(0,M91+N91-O91)</f>
        <v/>
      </c>
      <c r="Q91" s="51">
        <f>L91-IF(M91&lt;=0,0,MAX(0,O91-Plan!$E$25))</f>
        <v/>
      </c>
      <c r="R91" s="48">
        <f>U90</f>
        <v/>
      </c>
      <c r="S91" s="49">
        <f>IF(R91&gt;0,R91*Plan!$D$26/100/12,0)</f>
        <v/>
      </c>
      <c r="T91" s="48">
        <f>IF(R91&lt;=0,0,MIN(R91+S91,Plan!$E$26+Q91))</f>
        <v/>
      </c>
      <c r="U91" s="50">
        <f>MAX(0,R91+S91-T91)</f>
        <v/>
      </c>
      <c r="V91" s="51">
        <f>Q91-IF(R91&lt;=0,0,MAX(0,T91-Plan!$E$26))</f>
        <v/>
      </c>
      <c r="W91" s="48">
        <f>Z90</f>
        <v/>
      </c>
      <c r="X91" s="49">
        <f>IF(W91&gt;0,W91*Plan!$D$27/100/12,0)</f>
        <v/>
      </c>
      <c r="Y91" s="48">
        <f>IF(W91&lt;=0,0,MIN(W91+X91,Plan!$E$27+V91))</f>
        <v/>
      </c>
      <c r="Z91" s="50">
        <f>MAX(0,W91+X91-Y91)</f>
        <v/>
      </c>
      <c r="AA91" s="51">
        <f>V91-IF(W91&lt;=0,0,MAX(0,Y91-Plan!$E$27))</f>
        <v/>
      </c>
      <c r="AB91" s="48">
        <f>AE90</f>
        <v/>
      </c>
      <c r="AC91" s="49">
        <f>IF(AB91&gt;0,AB91*Plan!$D$28/100/12,0)</f>
        <v/>
      </c>
      <c r="AD91" s="48">
        <f>IF(AB91&lt;=0,0,MIN(AB91+AC91,Plan!$E$28+AA91))</f>
        <v/>
      </c>
      <c r="AE91" s="50">
        <f>MAX(0,AB91+AC91-AD91)</f>
        <v/>
      </c>
      <c r="AF91" s="51">
        <f>AA91-IF(AB91&lt;=0,0,MAX(0,AD91-Plan!$E$28))</f>
        <v/>
      </c>
      <c r="AG91" s="50">
        <f>F91+K91+P91+U91+Z91+AE91</f>
        <v/>
      </c>
    </row>
    <row r="92">
      <c r="A92" s="40" t="n">
        <v>85</v>
      </c>
      <c r="B92" s="41">
        <f>EDATE(Plan!$C$18,84)</f>
        <v/>
      </c>
      <c r="C92" s="42">
        <f>F91</f>
        <v/>
      </c>
      <c r="D92" s="43">
        <f>IF(C92&gt;0,C92*Plan!$D$23/100/12,0)</f>
        <v/>
      </c>
      <c r="E92" s="42">
        <f>IF(C92&lt;=0,0,MIN(C92+D92,Plan!$E$23+(Plan!$C$17+IF(C92&lt;=0,Plan!$E$23,MAX(0,Plan!$E$23-(C92+D92)))+IF(H92&lt;=0,Plan!$E$24,MAX(0,Plan!$E$24-(H92+I92)))+IF(M92&lt;=0,Plan!$E$25,MAX(0,Plan!$E$25-(M92+N92)))+IF(R92&lt;=0,Plan!$E$26,MAX(0,Plan!$E$26-(R92+S92)))+IF(W92&lt;=0,Plan!$E$27,MAX(0,Plan!$E$27-(W92+X92)))+IF(AB92&lt;=0,Plan!$E$28,MAX(0,Plan!$E$28-(AB92+AC92))))))</f>
        <v/>
      </c>
      <c r="F92" s="44">
        <f>MAX(0,C92+D92-E92)</f>
        <v/>
      </c>
      <c r="G92" s="45">
        <f>(Plan!$C$17+IF(C92&lt;=0,Plan!$E$23,MAX(0,Plan!$E$23-(C92+D92)))+IF(H92&lt;=0,Plan!$E$24,MAX(0,Plan!$E$24-(H92+I92)))+IF(M92&lt;=0,Plan!$E$25,MAX(0,Plan!$E$25-(M92+N92)))+IF(R92&lt;=0,Plan!$E$26,MAX(0,Plan!$E$26-(R92+S92)))+IF(W92&lt;=0,Plan!$E$27,MAX(0,Plan!$E$27-(W92+X92)))+IF(AB92&lt;=0,Plan!$E$28,MAX(0,Plan!$E$28-(AB92+AC92))))-IF(C92&lt;=0,0,MAX(0,E92-Plan!$E$23))</f>
        <v/>
      </c>
      <c r="H92" s="42">
        <f>K91</f>
        <v/>
      </c>
      <c r="I92" s="43">
        <f>IF(H92&gt;0,H92*Plan!$D$24/100/12,0)</f>
        <v/>
      </c>
      <c r="J92" s="42">
        <f>IF(H92&lt;=0,0,MIN(H92+I92,Plan!$E$24+G92))</f>
        <v/>
      </c>
      <c r="K92" s="44">
        <f>MAX(0,H92+I92-J92)</f>
        <v/>
      </c>
      <c r="L92" s="45">
        <f>G92-IF(H92&lt;=0,0,MAX(0,J92-Plan!$E$24))</f>
        <v/>
      </c>
      <c r="M92" s="42">
        <f>P91</f>
        <v/>
      </c>
      <c r="N92" s="43">
        <f>IF(M92&gt;0,M92*Plan!$D$25/100/12,0)</f>
        <v/>
      </c>
      <c r="O92" s="42">
        <f>IF(M92&lt;=0,0,MIN(M92+N92,Plan!$E$25+L92))</f>
        <v/>
      </c>
      <c r="P92" s="44">
        <f>MAX(0,M92+N92-O92)</f>
        <v/>
      </c>
      <c r="Q92" s="45">
        <f>L92-IF(M92&lt;=0,0,MAX(0,O92-Plan!$E$25))</f>
        <v/>
      </c>
      <c r="R92" s="42">
        <f>U91</f>
        <v/>
      </c>
      <c r="S92" s="43">
        <f>IF(R92&gt;0,R92*Plan!$D$26/100/12,0)</f>
        <v/>
      </c>
      <c r="T92" s="42">
        <f>IF(R92&lt;=0,0,MIN(R92+S92,Plan!$E$26+Q92))</f>
        <v/>
      </c>
      <c r="U92" s="44">
        <f>MAX(0,R92+S92-T92)</f>
        <v/>
      </c>
      <c r="V92" s="45">
        <f>Q92-IF(R92&lt;=0,0,MAX(0,T92-Plan!$E$26))</f>
        <v/>
      </c>
      <c r="W92" s="42">
        <f>Z91</f>
        <v/>
      </c>
      <c r="X92" s="43">
        <f>IF(W92&gt;0,W92*Plan!$D$27/100/12,0)</f>
        <v/>
      </c>
      <c r="Y92" s="42">
        <f>IF(W92&lt;=0,0,MIN(W92+X92,Plan!$E$27+V92))</f>
        <v/>
      </c>
      <c r="Z92" s="44">
        <f>MAX(0,W92+X92-Y92)</f>
        <v/>
      </c>
      <c r="AA92" s="45">
        <f>V92-IF(W92&lt;=0,0,MAX(0,Y92-Plan!$E$27))</f>
        <v/>
      </c>
      <c r="AB92" s="42">
        <f>AE91</f>
        <v/>
      </c>
      <c r="AC92" s="43">
        <f>IF(AB92&gt;0,AB92*Plan!$D$28/100/12,0)</f>
        <v/>
      </c>
      <c r="AD92" s="42">
        <f>IF(AB92&lt;=0,0,MIN(AB92+AC92,Plan!$E$28+AA92))</f>
        <v/>
      </c>
      <c r="AE92" s="44">
        <f>MAX(0,AB92+AC92-AD92)</f>
        <v/>
      </c>
      <c r="AF92" s="45">
        <f>AA92-IF(AB92&lt;=0,0,MAX(0,AD92-Plan!$E$28))</f>
        <v/>
      </c>
      <c r="AG92" s="44">
        <f>F92+K92+P92+U92+Z92+AE92</f>
        <v/>
      </c>
    </row>
    <row r="93">
      <c r="A93" s="46" t="n">
        <v>86</v>
      </c>
      <c r="B93" s="47">
        <f>EDATE(Plan!$C$18,85)</f>
        <v/>
      </c>
      <c r="C93" s="48">
        <f>F92</f>
        <v/>
      </c>
      <c r="D93" s="49">
        <f>IF(C93&gt;0,C93*Plan!$D$23/100/12,0)</f>
        <v/>
      </c>
      <c r="E93" s="48">
        <f>IF(C93&lt;=0,0,MIN(C93+D93,Plan!$E$23+(Plan!$C$17+IF(C93&lt;=0,Plan!$E$23,MAX(0,Plan!$E$23-(C93+D93)))+IF(H93&lt;=0,Plan!$E$24,MAX(0,Plan!$E$24-(H93+I93)))+IF(M93&lt;=0,Plan!$E$25,MAX(0,Plan!$E$25-(M93+N93)))+IF(R93&lt;=0,Plan!$E$26,MAX(0,Plan!$E$26-(R93+S93)))+IF(W93&lt;=0,Plan!$E$27,MAX(0,Plan!$E$27-(W93+X93)))+IF(AB93&lt;=0,Plan!$E$28,MAX(0,Plan!$E$28-(AB93+AC93))))))</f>
        <v/>
      </c>
      <c r="F93" s="50">
        <f>MAX(0,C93+D93-E93)</f>
        <v/>
      </c>
      <c r="G93" s="51">
        <f>(Plan!$C$17+IF(C93&lt;=0,Plan!$E$23,MAX(0,Plan!$E$23-(C93+D93)))+IF(H93&lt;=0,Plan!$E$24,MAX(0,Plan!$E$24-(H93+I93)))+IF(M93&lt;=0,Plan!$E$25,MAX(0,Plan!$E$25-(M93+N93)))+IF(R93&lt;=0,Plan!$E$26,MAX(0,Plan!$E$26-(R93+S93)))+IF(W93&lt;=0,Plan!$E$27,MAX(0,Plan!$E$27-(W93+X93)))+IF(AB93&lt;=0,Plan!$E$28,MAX(0,Plan!$E$28-(AB93+AC93))))-IF(C93&lt;=0,0,MAX(0,E93-Plan!$E$23))</f>
        <v/>
      </c>
      <c r="H93" s="48">
        <f>K92</f>
        <v/>
      </c>
      <c r="I93" s="49">
        <f>IF(H93&gt;0,H93*Plan!$D$24/100/12,0)</f>
        <v/>
      </c>
      <c r="J93" s="48">
        <f>IF(H93&lt;=0,0,MIN(H93+I93,Plan!$E$24+G93))</f>
        <v/>
      </c>
      <c r="K93" s="50">
        <f>MAX(0,H93+I93-J93)</f>
        <v/>
      </c>
      <c r="L93" s="51">
        <f>G93-IF(H93&lt;=0,0,MAX(0,J93-Plan!$E$24))</f>
        <v/>
      </c>
      <c r="M93" s="48">
        <f>P92</f>
        <v/>
      </c>
      <c r="N93" s="49">
        <f>IF(M93&gt;0,M93*Plan!$D$25/100/12,0)</f>
        <v/>
      </c>
      <c r="O93" s="48">
        <f>IF(M93&lt;=0,0,MIN(M93+N93,Plan!$E$25+L93))</f>
        <v/>
      </c>
      <c r="P93" s="50">
        <f>MAX(0,M93+N93-O93)</f>
        <v/>
      </c>
      <c r="Q93" s="51">
        <f>L93-IF(M93&lt;=0,0,MAX(0,O93-Plan!$E$25))</f>
        <v/>
      </c>
      <c r="R93" s="48">
        <f>U92</f>
        <v/>
      </c>
      <c r="S93" s="49">
        <f>IF(R93&gt;0,R93*Plan!$D$26/100/12,0)</f>
        <v/>
      </c>
      <c r="T93" s="48">
        <f>IF(R93&lt;=0,0,MIN(R93+S93,Plan!$E$26+Q93))</f>
        <v/>
      </c>
      <c r="U93" s="50">
        <f>MAX(0,R93+S93-T93)</f>
        <v/>
      </c>
      <c r="V93" s="51">
        <f>Q93-IF(R93&lt;=0,0,MAX(0,T93-Plan!$E$26))</f>
        <v/>
      </c>
      <c r="W93" s="48">
        <f>Z92</f>
        <v/>
      </c>
      <c r="X93" s="49">
        <f>IF(W93&gt;0,W93*Plan!$D$27/100/12,0)</f>
        <v/>
      </c>
      <c r="Y93" s="48">
        <f>IF(W93&lt;=0,0,MIN(W93+X93,Plan!$E$27+V93))</f>
        <v/>
      </c>
      <c r="Z93" s="50">
        <f>MAX(0,W93+X93-Y93)</f>
        <v/>
      </c>
      <c r="AA93" s="51">
        <f>V93-IF(W93&lt;=0,0,MAX(0,Y93-Plan!$E$27))</f>
        <v/>
      </c>
      <c r="AB93" s="48">
        <f>AE92</f>
        <v/>
      </c>
      <c r="AC93" s="49">
        <f>IF(AB93&gt;0,AB93*Plan!$D$28/100/12,0)</f>
        <v/>
      </c>
      <c r="AD93" s="48">
        <f>IF(AB93&lt;=0,0,MIN(AB93+AC93,Plan!$E$28+AA93))</f>
        <v/>
      </c>
      <c r="AE93" s="50">
        <f>MAX(0,AB93+AC93-AD93)</f>
        <v/>
      </c>
      <c r="AF93" s="51">
        <f>AA93-IF(AB93&lt;=0,0,MAX(0,AD93-Plan!$E$28))</f>
        <v/>
      </c>
      <c r="AG93" s="50">
        <f>F93+K93+P93+U93+Z93+AE93</f>
        <v/>
      </c>
    </row>
    <row r="94">
      <c r="A94" s="40" t="n">
        <v>87</v>
      </c>
      <c r="B94" s="41">
        <f>EDATE(Plan!$C$18,86)</f>
        <v/>
      </c>
      <c r="C94" s="42">
        <f>F93</f>
        <v/>
      </c>
      <c r="D94" s="43">
        <f>IF(C94&gt;0,C94*Plan!$D$23/100/12,0)</f>
        <v/>
      </c>
      <c r="E94" s="42">
        <f>IF(C94&lt;=0,0,MIN(C94+D94,Plan!$E$23+(Plan!$C$17+IF(C94&lt;=0,Plan!$E$23,MAX(0,Plan!$E$23-(C94+D94)))+IF(H94&lt;=0,Plan!$E$24,MAX(0,Plan!$E$24-(H94+I94)))+IF(M94&lt;=0,Plan!$E$25,MAX(0,Plan!$E$25-(M94+N94)))+IF(R94&lt;=0,Plan!$E$26,MAX(0,Plan!$E$26-(R94+S94)))+IF(W94&lt;=0,Plan!$E$27,MAX(0,Plan!$E$27-(W94+X94)))+IF(AB94&lt;=0,Plan!$E$28,MAX(0,Plan!$E$28-(AB94+AC94))))))</f>
        <v/>
      </c>
      <c r="F94" s="44">
        <f>MAX(0,C94+D94-E94)</f>
        <v/>
      </c>
      <c r="G94" s="45">
        <f>(Plan!$C$17+IF(C94&lt;=0,Plan!$E$23,MAX(0,Plan!$E$23-(C94+D94)))+IF(H94&lt;=0,Plan!$E$24,MAX(0,Plan!$E$24-(H94+I94)))+IF(M94&lt;=0,Plan!$E$25,MAX(0,Plan!$E$25-(M94+N94)))+IF(R94&lt;=0,Plan!$E$26,MAX(0,Plan!$E$26-(R94+S94)))+IF(W94&lt;=0,Plan!$E$27,MAX(0,Plan!$E$27-(W94+X94)))+IF(AB94&lt;=0,Plan!$E$28,MAX(0,Plan!$E$28-(AB94+AC94))))-IF(C94&lt;=0,0,MAX(0,E94-Plan!$E$23))</f>
        <v/>
      </c>
      <c r="H94" s="42">
        <f>K93</f>
        <v/>
      </c>
      <c r="I94" s="43">
        <f>IF(H94&gt;0,H94*Plan!$D$24/100/12,0)</f>
        <v/>
      </c>
      <c r="J94" s="42">
        <f>IF(H94&lt;=0,0,MIN(H94+I94,Plan!$E$24+G94))</f>
        <v/>
      </c>
      <c r="K94" s="44">
        <f>MAX(0,H94+I94-J94)</f>
        <v/>
      </c>
      <c r="L94" s="45">
        <f>G94-IF(H94&lt;=0,0,MAX(0,J94-Plan!$E$24))</f>
        <v/>
      </c>
      <c r="M94" s="42">
        <f>P93</f>
        <v/>
      </c>
      <c r="N94" s="43">
        <f>IF(M94&gt;0,M94*Plan!$D$25/100/12,0)</f>
        <v/>
      </c>
      <c r="O94" s="42">
        <f>IF(M94&lt;=0,0,MIN(M94+N94,Plan!$E$25+L94))</f>
        <v/>
      </c>
      <c r="P94" s="44">
        <f>MAX(0,M94+N94-O94)</f>
        <v/>
      </c>
      <c r="Q94" s="45">
        <f>L94-IF(M94&lt;=0,0,MAX(0,O94-Plan!$E$25))</f>
        <v/>
      </c>
      <c r="R94" s="42">
        <f>U93</f>
        <v/>
      </c>
      <c r="S94" s="43">
        <f>IF(R94&gt;0,R94*Plan!$D$26/100/12,0)</f>
        <v/>
      </c>
      <c r="T94" s="42">
        <f>IF(R94&lt;=0,0,MIN(R94+S94,Plan!$E$26+Q94))</f>
        <v/>
      </c>
      <c r="U94" s="44">
        <f>MAX(0,R94+S94-T94)</f>
        <v/>
      </c>
      <c r="V94" s="45">
        <f>Q94-IF(R94&lt;=0,0,MAX(0,T94-Plan!$E$26))</f>
        <v/>
      </c>
      <c r="W94" s="42">
        <f>Z93</f>
        <v/>
      </c>
      <c r="X94" s="43">
        <f>IF(W94&gt;0,W94*Plan!$D$27/100/12,0)</f>
        <v/>
      </c>
      <c r="Y94" s="42">
        <f>IF(W94&lt;=0,0,MIN(W94+X94,Plan!$E$27+V94))</f>
        <v/>
      </c>
      <c r="Z94" s="44">
        <f>MAX(0,W94+X94-Y94)</f>
        <v/>
      </c>
      <c r="AA94" s="45">
        <f>V94-IF(W94&lt;=0,0,MAX(0,Y94-Plan!$E$27))</f>
        <v/>
      </c>
      <c r="AB94" s="42">
        <f>AE93</f>
        <v/>
      </c>
      <c r="AC94" s="43">
        <f>IF(AB94&gt;0,AB94*Plan!$D$28/100/12,0)</f>
        <v/>
      </c>
      <c r="AD94" s="42">
        <f>IF(AB94&lt;=0,0,MIN(AB94+AC94,Plan!$E$28+AA94))</f>
        <v/>
      </c>
      <c r="AE94" s="44">
        <f>MAX(0,AB94+AC94-AD94)</f>
        <v/>
      </c>
      <c r="AF94" s="45">
        <f>AA94-IF(AB94&lt;=0,0,MAX(0,AD94-Plan!$E$28))</f>
        <v/>
      </c>
      <c r="AG94" s="44">
        <f>F94+K94+P94+U94+Z94+AE94</f>
        <v/>
      </c>
    </row>
    <row r="95">
      <c r="A95" s="46" t="n">
        <v>88</v>
      </c>
      <c r="B95" s="47">
        <f>EDATE(Plan!$C$18,87)</f>
        <v/>
      </c>
      <c r="C95" s="48">
        <f>F94</f>
        <v/>
      </c>
      <c r="D95" s="49">
        <f>IF(C95&gt;0,C95*Plan!$D$23/100/12,0)</f>
        <v/>
      </c>
      <c r="E95" s="48">
        <f>IF(C95&lt;=0,0,MIN(C95+D95,Plan!$E$23+(Plan!$C$17+IF(C95&lt;=0,Plan!$E$23,MAX(0,Plan!$E$23-(C95+D95)))+IF(H95&lt;=0,Plan!$E$24,MAX(0,Plan!$E$24-(H95+I95)))+IF(M95&lt;=0,Plan!$E$25,MAX(0,Plan!$E$25-(M95+N95)))+IF(R95&lt;=0,Plan!$E$26,MAX(0,Plan!$E$26-(R95+S95)))+IF(W95&lt;=0,Plan!$E$27,MAX(0,Plan!$E$27-(W95+X95)))+IF(AB95&lt;=0,Plan!$E$28,MAX(0,Plan!$E$28-(AB95+AC95))))))</f>
        <v/>
      </c>
      <c r="F95" s="50">
        <f>MAX(0,C95+D95-E95)</f>
        <v/>
      </c>
      <c r="G95" s="51">
        <f>(Plan!$C$17+IF(C95&lt;=0,Plan!$E$23,MAX(0,Plan!$E$23-(C95+D95)))+IF(H95&lt;=0,Plan!$E$24,MAX(0,Plan!$E$24-(H95+I95)))+IF(M95&lt;=0,Plan!$E$25,MAX(0,Plan!$E$25-(M95+N95)))+IF(R95&lt;=0,Plan!$E$26,MAX(0,Plan!$E$26-(R95+S95)))+IF(W95&lt;=0,Plan!$E$27,MAX(0,Plan!$E$27-(W95+X95)))+IF(AB95&lt;=0,Plan!$E$28,MAX(0,Plan!$E$28-(AB95+AC95))))-IF(C95&lt;=0,0,MAX(0,E95-Plan!$E$23))</f>
        <v/>
      </c>
      <c r="H95" s="48">
        <f>K94</f>
        <v/>
      </c>
      <c r="I95" s="49">
        <f>IF(H95&gt;0,H95*Plan!$D$24/100/12,0)</f>
        <v/>
      </c>
      <c r="J95" s="48">
        <f>IF(H95&lt;=0,0,MIN(H95+I95,Plan!$E$24+G95))</f>
        <v/>
      </c>
      <c r="K95" s="50">
        <f>MAX(0,H95+I95-J95)</f>
        <v/>
      </c>
      <c r="L95" s="51">
        <f>G95-IF(H95&lt;=0,0,MAX(0,J95-Plan!$E$24))</f>
        <v/>
      </c>
      <c r="M95" s="48">
        <f>P94</f>
        <v/>
      </c>
      <c r="N95" s="49">
        <f>IF(M95&gt;0,M95*Plan!$D$25/100/12,0)</f>
        <v/>
      </c>
      <c r="O95" s="48">
        <f>IF(M95&lt;=0,0,MIN(M95+N95,Plan!$E$25+L95))</f>
        <v/>
      </c>
      <c r="P95" s="50">
        <f>MAX(0,M95+N95-O95)</f>
        <v/>
      </c>
      <c r="Q95" s="51">
        <f>L95-IF(M95&lt;=0,0,MAX(0,O95-Plan!$E$25))</f>
        <v/>
      </c>
      <c r="R95" s="48">
        <f>U94</f>
        <v/>
      </c>
      <c r="S95" s="49">
        <f>IF(R95&gt;0,R95*Plan!$D$26/100/12,0)</f>
        <v/>
      </c>
      <c r="T95" s="48">
        <f>IF(R95&lt;=0,0,MIN(R95+S95,Plan!$E$26+Q95))</f>
        <v/>
      </c>
      <c r="U95" s="50">
        <f>MAX(0,R95+S95-T95)</f>
        <v/>
      </c>
      <c r="V95" s="51">
        <f>Q95-IF(R95&lt;=0,0,MAX(0,T95-Plan!$E$26))</f>
        <v/>
      </c>
      <c r="W95" s="48">
        <f>Z94</f>
        <v/>
      </c>
      <c r="X95" s="49">
        <f>IF(W95&gt;0,W95*Plan!$D$27/100/12,0)</f>
        <v/>
      </c>
      <c r="Y95" s="48">
        <f>IF(W95&lt;=0,0,MIN(W95+X95,Plan!$E$27+V95))</f>
        <v/>
      </c>
      <c r="Z95" s="50">
        <f>MAX(0,W95+X95-Y95)</f>
        <v/>
      </c>
      <c r="AA95" s="51">
        <f>V95-IF(W95&lt;=0,0,MAX(0,Y95-Plan!$E$27))</f>
        <v/>
      </c>
      <c r="AB95" s="48">
        <f>AE94</f>
        <v/>
      </c>
      <c r="AC95" s="49">
        <f>IF(AB95&gt;0,AB95*Plan!$D$28/100/12,0)</f>
        <v/>
      </c>
      <c r="AD95" s="48">
        <f>IF(AB95&lt;=0,0,MIN(AB95+AC95,Plan!$E$28+AA95))</f>
        <v/>
      </c>
      <c r="AE95" s="50">
        <f>MAX(0,AB95+AC95-AD95)</f>
        <v/>
      </c>
      <c r="AF95" s="51">
        <f>AA95-IF(AB95&lt;=0,0,MAX(0,AD95-Plan!$E$28))</f>
        <v/>
      </c>
      <c r="AG95" s="50">
        <f>F95+K95+P95+U95+Z95+AE95</f>
        <v/>
      </c>
    </row>
    <row r="96">
      <c r="A96" s="40" t="n">
        <v>89</v>
      </c>
      <c r="B96" s="41">
        <f>EDATE(Plan!$C$18,88)</f>
        <v/>
      </c>
      <c r="C96" s="42">
        <f>F95</f>
        <v/>
      </c>
      <c r="D96" s="43">
        <f>IF(C96&gt;0,C96*Plan!$D$23/100/12,0)</f>
        <v/>
      </c>
      <c r="E96" s="42">
        <f>IF(C96&lt;=0,0,MIN(C96+D96,Plan!$E$23+(Plan!$C$17+IF(C96&lt;=0,Plan!$E$23,MAX(0,Plan!$E$23-(C96+D96)))+IF(H96&lt;=0,Plan!$E$24,MAX(0,Plan!$E$24-(H96+I96)))+IF(M96&lt;=0,Plan!$E$25,MAX(0,Plan!$E$25-(M96+N96)))+IF(R96&lt;=0,Plan!$E$26,MAX(0,Plan!$E$26-(R96+S96)))+IF(W96&lt;=0,Plan!$E$27,MAX(0,Plan!$E$27-(W96+X96)))+IF(AB96&lt;=0,Plan!$E$28,MAX(0,Plan!$E$28-(AB96+AC96))))))</f>
        <v/>
      </c>
      <c r="F96" s="44">
        <f>MAX(0,C96+D96-E96)</f>
        <v/>
      </c>
      <c r="G96" s="45">
        <f>(Plan!$C$17+IF(C96&lt;=0,Plan!$E$23,MAX(0,Plan!$E$23-(C96+D96)))+IF(H96&lt;=0,Plan!$E$24,MAX(0,Plan!$E$24-(H96+I96)))+IF(M96&lt;=0,Plan!$E$25,MAX(0,Plan!$E$25-(M96+N96)))+IF(R96&lt;=0,Plan!$E$26,MAX(0,Plan!$E$26-(R96+S96)))+IF(W96&lt;=0,Plan!$E$27,MAX(0,Plan!$E$27-(W96+X96)))+IF(AB96&lt;=0,Plan!$E$28,MAX(0,Plan!$E$28-(AB96+AC96))))-IF(C96&lt;=0,0,MAX(0,E96-Plan!$E$23))</f>
        <v/>
      </c>
      <c r="H96" s="42">
        <f>K95</f>
        <v/>
      </c>
      <c r="I96" s="43">
        <f>IF(H96&gt;0,H96*Plan!$D$24/100/12,0)</f>
        <v/>
      </c>
      <c r="J96" s="42">
        <f>IF(H96&lt;=0,0,MIN(H96+I96,Plan!$E$24+G96))</f>
        <v/>
      </c>
      <c r="K96" s="44">
        <f>MAX(0,H96+I96-J96)</f>
        <v/>
      </c>
      <c r="L96" s="45">
        <f>G96-IF(H96&lt;=0,0,MAX(0,J96-Plan!$E$24))</f>
        <v/>
      </c>
      <c r="M96" s="42">
        <f>P95</f>
        <v/>
      </c>
      <c r="N96" s="43">
        <f>IF(M96&gt;0,M96*Plan!$D$25/100/12,0)</f>
        <v/>
      </c>
      <c r="O96" s="42">
        <f>IF(M96&lt;=0,0,MIN(M96+N96,Plan!$E$25+L96))</f>
        <v/>
      </c>
      <c r="P96" s="44">
        <f>MAX(0,M96+N96-O96)</f>
        <v/>
      </c>
      <c r="Q96" s="45">
        <f>L96-IF(M96&lt;=0,0,MAX(0,O96-Plan!$E$25))</f>
        <v/>
      </c>
      <c r="R96" s="42">
        <f>U95</f>
        <v/>
      </c>
      <c r="S96" s="43">
        <f>IF(R96&gt;0,R96*Plan!$D$26/100/12,0)</f>
        <v/>
      </c>
      <c r="T96" s="42">
        <f>IF(R96&lt;=0,0,MIN(R96+S96,Plan!$E$26+Q96))</f>
        <v/>
      </c>
      <c r="U96" s="44">
        <f>MAX(0,R96+S96-T96)</f>
        <v/>
      </c>
      <c r="V96" s="45">
        <f>Q96-IF(R96&lt;=0,0,MAX(0,T96-Plan!$E$26))</f>
        <v/>
      </c>
      <c r="W96" s="42">
        <f>Z95</f>
        <v/>
      </c>
      <c r="X96" s="43">
        <f>IF(W96&gt;0,W96*Plan!$D$27/100/12,0)</f>
        <v/>
      </c>
      <c r="Y96" s="42">
        <f>IF(W96&lt;=0,0,MIN(W96+X96,Plan!$E$27+V96))</f>
        <v/>
      </c>
      <c r="Z96" s="44">
        <f>MAX(0,W96+X96-Y96)</f>
        <v/>
      </c>
      <c r="AA96" s="45">
        <f>V96-IF(W96&lt;=0,0,MAX(0,Y96-Plan!$E$27))</f>
        <v/>
      </c>
      <c r="AB96" s="42">
        <f>AE95</f>
        <v/>
      </c>
      <c r="AC96" s="43">
        <f>IF(AB96&gt;0,AB96*Plan!$D$28/100/12,0)</f>
        <v/>
      </c>
      <c r="AD96" s="42">
        <f>IF(AB96&lt;=0,0,MIN(AB96+AC96,Plan!$E$28+AA96))</f>
        <v/>
      </c>
      <c r="AE96" s="44">
        <f>MAX(0,AB96+AC96-AD96)</f>
        <v/>
      </c>
      <c r="AF96" s="45">
        <f>AA96-IF(AB96&lt;=0,0,MAX(0,AD96-Plan!$E$28))</f>
        <v/>
      </c>
      <c r="AG96" s="44">
        <f>F96+K96+P96+U96+Z96+AE96</f>
        <v/>
      </c>
    </row>
    <row r="97">
      <c r="A97" s="46" t="n">
        <v>90</v>
      </c>
      <c r="B97" s="47">
        <f>EDATE(Plan!$C$18,89)</f>
        <v/>
      </c>
      <c r="C97" s="48">
        <f>F96</f>
        <v/>
      </c>
      <c r="D97" s="49">
        <f>IF(C97&gt;0,C97*Plan!$D$23/100/12,0)</f>
        <v/>
      </c>
      <c r="E97" s="48">
        <f>IF(C97&lt;=0,0,MIN(C97+D97,Plan!$E$23+(Plan!$C$17+IF(C97&lt;=0,Plan!$E$23,MAX(0,Plan!$E$23-(C97+D97)))+IF(H97&lt;=0,Plan!$E$24,MAX(0,Plan!$E$24-(H97+I97)))+IF(M97&lt;=0,Plan!$E$25,MAX(0,Plan!$E$25-(M97+N97)))+IF(R97&lt;=0,Plan!$E$26,MAX(0,Plan!$E$26-(R97+S97)))+IF(W97&lt;=0,Plan!$E$27,MAX(0,Plan!$E$27-(W97+X97)))+IF(AB97&lt;=0,Plan!$E$28,MAX(0,Plan!$E$28-(AB97+AC97))))))</f>
        <v/>
      </c>
      <c r="F97" s="50">
        <f>MAX(0,C97+D97-E97)</f>
        <v/>
      </c>
      <c r="G97" s="51">
        <f>(Plan!$C$17+IF(C97&lt;=0,Plan!$E$23,MAX(0,Plan!$E$23-(C97+D97)))+IF(H97&lt;=0,Plan!$E$24,MAX(0,Plan!$E$24-(H97+I97)))+IF(M97&lt;=0,Plan!$E$25,MAX(0,Plan!$E$25-(M97+N97)))+IF(R97&lt;=0,Plan!$E$26,MAX(0,Plan!$E$26-(R97+S97)))+IF(W97&lt;=0,Plan!$E$27,MAX(0,Plan!$E$27-(W97+X97)))+IF(AB97&lt;=0,Plan!$E$28,MAX(0,Plan!$E$28-(AB97+AC97))))-IF(C97&lt;=0,0,MAX(0,E97-Plan!$E$23))</f>
        <v/>
      </c>
      <c r="H97" s="48">
        <f>K96</f>
        <v/>
      </c>
      <c r="I97" s="49">
        <f>IF(H97&gt;0,H97*Plan!$D$24/100/12,0)</f>
        <v/>
      </c>
      <c r="J97" s="48">
        <f>IF(H97&lt;=0,0,MIN(H97+I97,Plan!$E$24+G97))</f>
        <v/>
      </c>
      <c r="K97" s="50">
        <f>MAX(0,H97+I97-J97)</f>
        <v/>
      </c>
      <c r="L97" s="51">
        <f>G97-IF(H97&lt;=0,0,MAX(0,J97-Plan!$E$24))</f>
        <v/>
      </c>
      <c r="M97" s="48">
        <f>P96</f>
        <v/>
      </c>
      <c r="N97" s="49">
        <f>IF(M97&gt;0,M97*Plan!$D$25/100/12,0)</f>
        <v/>
      </c>
      <c r="O97" s="48">
        <f>IF(M97&lt;=0,0,MIN(M97+N97,Plan!$E$25+L97))</f>
        <v/>
      </c>
      <c r="P97" s="50">
        <f>MAX(0,M97+N97-O97)</f>
        <v/>
      </c>
      <c r="Q97" s="51">
        <f>L97-IF(M97&lt;=0,0,MAX(0,O97-Plan!$E$25))</f>
        <v/>
      </c>
      <c r="R97" s="48">
        <f>U96</f>
        <v/>
      </c>
      <c r="S97" s="49">
        <f>IF(R97&gt;0,R97*Plan!$D$26/100/12,0)</f>
        <v/>
      </c>
      <c r="T97" s="48">
        <f>IF(R97&lt;=0,0,MIN(R97+S97,Plan!$E$26+Q97))</f>
        <v/>
      </c>
      <c r="U97" s="50">
        <f>MAX(0,R97+S97-T97)</f>
        <v/>
      </c>
      <c r="V97" s="51">
        <f>Q97-IF(R97&lt;=0,0,MAX(0,T97-Plan!$E$26))</f>
        <v/>
      </c>
      <c r="W97" s="48">
        <f>Z96</f>
        <v/>
      </c>
      <c r="X97" s="49">
        <f>IF(W97&gt;0,W97*Plan!$D$27/100/12,0)</f>
        <v/>
      </c>
      <c r="Y97" s="48">
        <f>IF(W97&lt;=0,0,MIN(W97+X97,Plan!$E$27+V97))</f>
        <v/>
      </c>
      <c r="Z97" s="50">
        <f>MAX(0,W97+X97-Y97)</f>
        <v/>
      </c>
      <c r="AA97" s="51">
        <f>V97-IF(W97&lt;=0,0,MAX(0,Y97-Plan!$E$27))</f>
        <v/>
      </c>
      <c r="AB97" s="48">
        <f>AE96</f>
        <v/>
      </c>
      <c r="AC97" s="49">
        <f>IF(AB97&gt;0,AB97*Plan!$D$28/100/12,0)</f>
        <v/>
      </c>
      <c r="AD97" s="48">
        <f>IF(AB97&lt;=0,0,MIN(AB97+AC97,Plan!$E$28+AA97))</f>
        <v/>
      </c>
      <c r="AE97" s="50">
        <f>MAX(0,AB97+AC97-AD97)</f>
        <v/>
      </c>
      <c r="AF97" s="51">
        <f>AA97-IF(AB97&lt;=0,0,MAX(0,AD97-Plan!$E$28))</f>
        <v/>
      </c>
      <c r="AG97" s="50">
        <f>F97+K97+P97+U97+Z97+AE97</f>
        <v/>
      </c>
    </row>
    <row r="98">
      <c r="A98" s="40" t="n">
        <v>91</v>
      </c>
      <c r="B98" s="41">
        <f>EDATE(Plan!$C$18,90)</f>
        <v/>
      </c>
      <c r="C98" s="42">
        <f>F97</f>
        <v/>
      </c>
      <c r="D98" s="43">
        <f>IF(C98&gt;0,C98*Plan!$D$23/100/12,0)</f>
        <v/>
      </c>
      <c r="E98" s="42">
        <f>IF(C98&lt;=0,0,MIN(C98+D98,Plan!$E$23+(Plan!$C$17+IF(C98&lt;=0,Plan!$E$23,MAX(0,Plan!$E$23-(C98+D98)))+IF(H98&lt;=0,Plan!$E$24,MAX(0,Plan!$E$24-(H98+I98)))+IF(M98&lt;=0,Plan!$E$25,MAX(0,Plan!$E$25-(M98+N98)))+IF(R98&lt;=0,Plan!$E$26,MAX(0,Plan!$E$26-(R98+S98)))+IF(W98&lt;=0,Plan!$E$27,MAX(0,Plan!$E$27-(W98+X98)))+IF(AB98&lt;=0,Plan!$E$28,MAX(0,Plan!$E$28-(AB98+AC98))))))</f>
        <v/>
      </c>
      <c r="F98" s="44">
        <f>MAX(0,C98+D98-E98)</f>
        <v/>
      </c>
      <c r="G98" s="45">
        <f>(Plan!$C$17+IF(C98&lt;=0,Plan!$E$23,MAX(0,Plan!$E$23-(C98+D98)))+IF(H98&lt;=0,Plan!$E$24,MAX(0,Plan!$E$24-(H98+I98)))+IF(M98&lt;=0,Plan!$E$25,MAX(0,Plan!$E$25-(M98+N98)))+IF(R98&lt;=0,Plan!$E$26,MAX(0,Plan!$E$26-(R98+S98)))+IF(W98&lt;=0,Plan!$E$27,MAX(0,Plan!$E$27-(W98+X98)))+IF(AB98&lt;=0,Plan!$E$28,MAX(0,Plan!$E$28-(AB98+AC98))))-IF(C98&lt;=0,0,MAX(0,E98-Plan!$E$23))</f>
        <v/>
      </c>
      <c r="H98" s="42">
        <f>K97</f>
        <v/>
      </c>
      <c r="I98" s="43">
        <f>IF(H98&gt;0,H98*Plan!$D$24/100/12,0)</f>
        <v/>
      </c>
      <c r="J98" s="42">
        <f>IF(H98&lt;=0,0,MIN(H98+I98,Plan!$E$24+G98))</f>
        <v/>
      </c>
      <c r="K98" s="44">
        <f>MAX(0,H98+I98-J98)</f>
        <v/>
      </c>
      <c r="L98" s="45">
        <f>G98-IF(H98&lt;=0,0,MAX(0,J98-Plan!$E$24))</f>
        <v/>
      </c>
      <c r="M98" s="42">
        <f>P97</f>
        <v/>
      </c>
      <c r="N98" s="43">
        <f>IF(M98&gt;0,M98*Plan!$D$25/100/12,0)</f>
        <v/>
      </c>
      <c r="O98" s="42">
        <f>IF(M98&lt;=0,0,MIN(M98+N98,Plan!$E$25+L98))</f>
        <v/>
      </c>
      <c r="P98" s="44">
        <f>MAX(0,M98+N98-O98)</f>
        <v/>
      </c>
      <c r="Q98" s="45">
        <f>L98-IF(M98&lt;=0,0,MAX(0,O98-Plan!$E$25))</f>
        <v/>
      </c>
      <c r="R98" s="42">
        <f>U97</f>
        <v/>
      </c>
      <c r="S98" s="43">
        <f>IF(R98&gt;0,R98*Plan!$D$26/100/12,0)</f>
        <v/>
      </c>
      <c r="T98" s="42">
        <f>IF(R98&lt;=0,0,MIN(R98+S98,Plan!$E$26+Q98))</f>
        <v/>
      </c>
      <c r="U98" s="44">
        <f>MAX(0,R98+S98-T98)</f>
        <v/>
      </c>
      <c r="V98" s="45">
        <f>Q98-IF(R98&lt;=0,0,MAX(0,T98-Plan!$E$26))</f>
        <v/>
      </c>
      <c r="W98" s="42">
        <f>Z97</f>
        <v/>
      </c>
      <c r="X98" s="43">
        <f>IF(W98&gt;0,W98*Plan!$D$27/100/12,0)</f>
        <v/>
      </c>
      <c r="Y98" s="42">
        <f>IF(W98&lt;=0,0,MIN(W98+X98,Plan!$E$27+V98))</f>
        <v/>
      </c>
      <c r="Z98" s="44">
        <f>MAX(0,W98+X98-Y98)</f>
        <v/>
      </c>
      <c r="AA98" s="45">
        <f>V98-IF(W98&lt;=0,0,MAX(0,Y98-Plan!$E$27))</f>
        <v/>
      </c>
      <c r="AB98" s="42">
        <f>AE97</f>
        <v/>
      </c>
      <c r="AC98" s="43">
        <f>IF(AB98&gt;0,AB98*Plan!$D$28/100/12,0)</f>
        <v/>
      </c>
      <c r="AD98" s="42">
        <f>IF(AB98&lt;=0,0,MIN(AB98+AC98,Plan!$E$28+AA98))</f>
        <v/>
      </c>
      <c r="AE98" s="44">
        <f>MAX(0,AB98+AC98-AD98)</f>
        <v/>
      </c>
      <c r="AF98" s="45">
        <f>AA98-IF(AB98&lt;=0,0,MAX(0,AD98-Plan!$E$28))</f>
        <v/>
      </c>
      <c r="AG98" s="44">
        <f>F98+K98+P98+U98+Z98+AE98</f>
        <v/>
      </c>
    </row>
    <row r="99">
      <c r="A99" s="46" t="n">
        <v>92</v>
      </c>
      <c r="B99" s="47">
        <f>EDATE(Plan!$C$18,91)</f>
        <v/>
      </c>
      <c r="C99" s="48">
        <f>F98</f>
        <v/>
      </c>
      <c r="D99" s="49">
        <f>IF(C99&gt;0,C99*Plan!$D$23/100/12,0)</f>
        <v/>
      </c>
      <c r="E99" s="48">
        <f>IF(C99&lt;=0,0,MIN(C99+D99,Plan!$E$23+(Plan!$C$17+IF(C99&lt;=0,Plan!$E$23,MAX(0,Plan!$E$23-(C99+D99)))+IF(H99&lt;=0,Plan!$E$24,MAX(0,Plan!$E$24-(H99+I99)))+IF(M99&lt;=0,Plan!$E$25,MAX(0,Plan!$E$25-(M99+N99)))+IF(R99&lt;=0,Plan!$E$26,MAX(0,Plan!$E$26-(R99+S99)))+IF(W99&lt;=0,Plan!$E$27,MAX(0,Plan!$E$27-(W99+X99)))+IF(AB99&lt;=0,Plan!$E$28,MAX(0,Plan!$E$28-(AB99+AC99))))))</f>
        <v/>
      </c>
      <c r="F99" s="50">
        <f>MAX(0,C99+D99-E99)</f>
        <v/>
      </c>
      <c r="G99" s="51">
        <f>(Plan!$C$17+IF(C99&lt;=0,Plan!$E$23,MAX(0,Plan!$E$23-(C99+D99)))+IF(H99&lt;=0,Plan!$E$24,MAX(0,Plan!$E$24-(H99+I99)))+IF(M99&lt;=0,Plan!$E$25,MAX(0,Plan!$E$25-(M99+N99)))+IF(R99&lt;=0,Plan!$E$26,MAX(0,Plan!$E$26-(R99+S99)))+IF(W99&lt;=0,Plan!$E$27,MAX(0,Plan!$E$27-(W99+X99)))+IF(AB99&lt;=0,Plan!$E$28,MAX(0,Plan!$E$28-(AB99+AC99))))-IF(C99&lt;=0,0,MAX(0,E99-Plan!$E$23))</f>
        <v/>
      </c>
      <c r="H99" s="48">
        <f>K98</f>
        <v/>
      </c>
      <c r="I99" s="49">
        <f>IF(H99&gt;0,H99*Plan!$D$24/100/12,0)</f>
        <v/>
      </c>
      <c r="J99" s="48">
        <f>IF(H99&lt;=0,0,MIN(H99+I99,Plan!$E$24+G99))</f>
        <v/>
      </c>
      <c r="K99" s="50">
        <f>MAX(0,H99+I99-J99)</f>
        <v/>
      </c>
      <c r="L99" s="51">
        <f>G99-IF(H99&lt;=0,0,MAX(0,J99-Plan!$E$24))</f>
        <v/>
      </c>
      <c r="M99" s="48">
        <f>P98</f>
        <v/>
      </c>
      <c r="N99" s="49">
        <f>IF(M99&gt;0,M99*Plan!$D$25/100/12,0)</f>
        <v/>
      </c>
      <c r="O99" s="48">
        <f>IF(M99&lt;=0,0,MIN(M99+N99,Plan!$E$25+L99))</f>
        <v/>
      </c>
      <c r="P99" s="50">
        <f>MAX(0,M99+N99-O99)</f>
        <v/>
      </c>
      <c r="Q99" s="51">
        <f>L99-IF(M99&lt;=0,0,MAX(0,O99-Plan!$E$25))</f>
        <v/>
      </c>
      <c r="R99" s="48">
        <f>U98</f>
        <v/>
      </c>
      <c r="S99" s="49">
        <f>IF(R99&gt;0,R99*Plan!$D$26/100/12,0)</f>
        <v/>
      </c>
      <c r="T99" s="48">
        <f>IF(R99&lt;=0,0,MIN(R99+S99,Plan!$E$26+Q99))</f>
        <v/>
      </c>
      <c r="U99" s="50">
        <f>MAX(0,R99+S99-T99)</f>
        <v/>
      </c>
      <c r="V99" s="51">
        <f>Q99-IF(R99&lt;=0,0,MAX(0,T99-Plan!$E$26))</f>
        <v/>
      </c>
      <c r="W99" s="48">
        <f>Z98</f>
        <v/>
      </c>
      <c r="X99" s="49">
        <f>IF(W99&gt;0,W99*Plan!$D$27/100/12,0)</f>
        <v/>
      </c>
      <c r="Y99" s="48">
        <f>IF(W99&lt;=0,0,MIN(W99+X99,Plan!$E$27+V99))</f>
        <v/>
      </c>
      <c r="Z99" s="50">
        <f>MAX(0,W99+X99-Y99)</f>
        <v/>
      </c>
      <c r="AA99" s="51">
        <f>V99-IF(W99&lt;=0,0,MAX(0,Y99-Plan!$E$27))</f>
        <v/>
      </c>
      <c r="AB99" s="48">
        <f>AE98</f>
        <v/>
      </c>
      <c r="AC99" s="49">
        <f>IF(AB99&gt;0,AB99*Plan!$D$28/100/12,0)</f>
        <v/>
      </c>
      <c r="AD99" s="48">
        <f>IF(AB99&lt;=0,0,MIN(AB99+AC99,Plan!$E$28+AA99))</f>
        <v/>
      </c>
      <c r="AE99" s="50">
        <f>MAX(0,AB99+AC99-AD99)</f>
        <v/>
      </c>
      <c r="AF99" s="51">
        <f>AA99-IF(AB99&lt;=0,0,MAX(0,AD99-Plan!$E$28))</f>
        <v/>
      </c>
      <c r="AG99" s="50">
        <f>F99+K99+P99+U99+Z99+AE99</f>
        <v/>
      </c>
    </row>
    <row r="100">
      <c r="A100" s="40" t="n">
        <v>93</v>
      </c>
      <c r="B100" s="41">
        <f>EDATE(Plan!$C$18,92)</f>
        <v/>
      </c>
      <c r="C100" s="42">
        <f>F99</f>
        <v/>
      </c>
      <c r="D100" s="43">
        <f>IF(C100&gt;0,C100*Plan!$D$23/100/12,0)</f>
        <v/>
      </c>
      <c r="E100" s="42">
        <f>IF(C100&lt;=0,0,MIN(C100+D100,Plan!$E$23+(Plan!$C$17+IF(C100&lt;=0,Plan!$E$23,MAX(0,Plan!$E$23-(C100+D100)))+IF(H100&lt;=0,Plan!$E$24,MAX(0,Plan!$E$24-(H100+I100)))+IF(M100&lt;=0,Plan!$E$25,MAX(0,Plan!$E$25-(M100+N100)))+IF(R100&lt;=0,Plan!$E$26,MAX(0,Plan!$E$26-(R100+S100)))+IF(W100&lt;=0,Plan!$E$27,MAX(0,Plan!$E$27-(W100+X100)))+IF(AB100&lt;=0,Plan!$E$28,MAX(0,Plan!$E$28-(AB100+AC100))))))</f>
        <v/>
      </c>
      <c r="F100" s="44">
        <f>MAX(0,C100+D100-E100)</f>
        <v/>
      </c>
      <c r="G100" s="45">
        <f>(Plan!$C$17+IF(C100&lt;=0,Plan!$E$23,MAX(0,Plan!$E$23-(C100+D100)))+IF(H100&lt;=0,Plan!$E$24,MAX(0,Plan!$E$24-(H100+I100)))+IF(M100&lt;=0,Plan!$E$25,MAX(0,Plan!$E$25-(M100+N100)))+IF(R100&lt;=0,Plan!$E$26,MAX(0,Plan!$E$26-(R100+S100)))+IF(W100&lt;=0,Plan!$E$27,MAX(0,Plan!$E$27-(W100+X100)))+IF(AB100&lt;=0,Plan!$E$28,MAX(0,Plan!$E$28-(AB100+AC100))))-IF(C100&lt;=0,0,MAX(0,E100-Plan!$E$23))</f>
        <v/>
      </c>
      <c r="H100" s="42">
        <f>K99</f>
        <v/>
      </c>
      <c r="I100" s="43">
        <f>IF(H100&gt;0,H100*Plan!$D$24/100/12,0)</f>
        <v/>
      </c>
      <c r="J100" s="42">
        <f>IF(H100&lt;=0,0,MIN(H100+I100,Plan!$E$24+G100))</f>
        <v/>
      </c>
      <c r="K100" s="44">
        <f>MAX(0,H100+I100-J100)</f>
        <v/>
      </c>
      <c r="L100" s="45">
        <f>G100-IF(H100&lt;=0,0,MAX(0,J100-Plan!$E$24))</f>
        <v/>
      </c>
      <c r="M100" s="42">
        <f>P99</f>
        <v/>
      </c>
      <c r="N100" s="43">
        <f>IF(M100&gt;0,M100*Plan!$D$25/100/12,0)</f>
        <v/>
      </c>
      <c r="O100" s="42">
        <f>IF(M100&lt;=0,0,MIN(M100+N100,Plan!$E$25+L100))</f>
        <v/>
      </c>
      <c r="P100" s="44">
        <f>MAX(0,M100+N100-O100)</f>
        <v/>
      </c>
      <c r="Q100" s="45">
        <f>L100-IF(M100&lt;=0,0,MAX(0,O100-Plan!$E$25))</f>
        <v/>
      </c>
      <c r="R100" s="42">
        <f>U99</f>
        <v/>
      </c>
      <c r="S100" s="43">
        <f>IF(R100&gt;0,R100*Plan!$D$26/100/12,0)</f>
        <v/>
      </c>
      <c r="T100" s="42">
        <f>IF(R100&lt;=0,0,MIN(R100+S100,Plan!$E$26+Q100))</f>
        <v/>
      </c>
      <c r="U100" s="44">
        <f>MAX(0,R100+S100-T100)</f>
        <v/>
      </c>
      <c r="V100" s="45">
        <f>Q100-IF(R100&lt;=0,0,MAX(0,T100-Plan!$E$26))</f>
        <v/>
      </c>
      <c r="W100" s="42">
        <f>Z99</f>
        <v/>
      </c>
      <c r="X100" s="43">
        <f>IF(W100&gt;0,W100*Plan!$D$27/100/12,0)</f>
        <v/>
      </c>
      <c r="Y100" s="42">
        <f>IF(W100&lt;=0,0,MIN(W100+X100,Plan!$E$27+V100))</f>
        <v/>
      </c>
      <c r="Z100" s="44">
        <f>MAX(0,W100+X100-Y100)</f>
        <v/>
      </c>
      <c r="AA100" s="45">
        <f>V100-IF(W100&lt;=0,0,MAX(0,Y100-Plan!$E$27))</f>
        <v/>
      </c>
      <c r="AB100" s="42">
        <f>AE99</f>
        <v/>
      </c>
      <c r="AC100" s="43">
        <f>IF(AB100&gt;0,AB100*Plan!$D$28/100/12,0)</f>
        <v/>
      </c>
      <c r="AD100" s="42">
        <f>IF(AB100&lt;=0,0,MIN(AB100+AC100,Plan!$E$28+AA100))</f>
        <v/>
      </c>
      <c r="AE100" s="44">
        <f>MAX(0,AB100+AC100-AD100)</f>
        <v/>
      </c>
      <c r="AF100" s="45">
        <f>AA100-IF(AB100&lt;=0,0,MAX(0,AD100-Plan!$E$28))</f>
        <v/>
      </c>
      <c r="AG100" s="44">
        <f>F100+K100+P100+U100+Z100+AE100</f>
        <v/>
      </c>
    </row>
    <row r="101">
      <c r="A101" s="46" t="n">
        <v>94</v>
      </c>
      <c r="B101" s="47">
        <f>EDATE(Plan!$C$18,93)</f>
        <v/>
      </c>
      <c r="C101" s="48">
        <f>F100</f>
        <v/>
      </c>
      <c r="D101" s="49">
        <f>IF(C101&gt;0,C101*Plan!$D$23/100/12,0)</f>
        <v/>
      </c>
      <c r="E101" s="48">
        <f>IF(C101&lt;=0,0,MIN(C101+D101,Plan!$E$23+(Plan!$C$17+IF(C101&lt;=0,Plan!$E$23,MAX(0,Plan!$E$23-(C101+D101)))+IF(H101&lt;=0,Plan!$E$24,MAX(0,Plan!$E$24-(H101+I101)))+IF(M101&lt;=0,Plan!$E$25,MAX(0,Plan!$E$25-(M101+N101)))+IF(R101&lt;=0,Plan!$E$26,MAX(0,Plan!$E$26-(R101+S101)))+IF(W101&lt;=0,Plan!$E$27,MAX(0,Plan!$E$27-(W101+X101)))+IF(AB101&lt;=0,Plan!$E$28,MAX(0,Plan!$E$28-(AB101+AC101))))))</f>
        <v/>
      </c>
      <c r="F101" s="50">
        <f>MAX(0,C101+D101-E101)</f>
        <v/>
      </c>
      <c r="G101" s="51">
        <f>(Plan!$C$17+IF(C101&lt;=0,Plan!$E$23,MAX(0,Plan!$E$23-(C101+D101)))+IF(H101&lt;=0,Plan!$E$24,MAX(0,Plan!$E$24-(H101+I101)))+IF(M101&lt;=0,Plan!$E$25,MAX(0,Plan!$E$25-(M101+N101)))+IF(R101&lt;=0,Plan!$E$26,MAX(0,Plan!$E$26-(R101+S101)))+IF(W101&lt;=0,Plan!$E$27,MAX(0,Plan!$E$27-(W101+X101)))+IF(AB101&lt;=0,Plan!$E$28,MAX(0,Plan!$E$28-(AB101+AC101))))-IF(C101&lt;=0,0,MAX(0,E101-Plan!$E$23))</f>
        <v/>
      </c>
      <c r="H101" s="48">
        <f>K100</f>
        <v/>
      </c>
      <c r="I101" s="49">
        <f>IF(H101&gt;0,H101*Plan!$D$24/100/12,0)</f>
        <v/>
      </c>
      <c r="J101" s="48">
        <f>IF(H101&lt;=0,0,MIN(H101+I101,Plan!$E$24+G101))</f>
        <v/>
      </c>
      <c r="K101" s="50">
        <f>MAX(0,H101+I101-J101)</f>
        <v/>
      </c>
      <c r="L101" s="51">
        <f>G101-IF(H101&lt;=0,0,MAX(0,J101-Plan!$E$24))</f>
        <v/>
      </c>
      <c r="M101" s="48">
        <f>P100</f>
        <v/>
      </c>
      <c r="N101" s="49">
        <f>IF(M101&gt;0,M101*Plan!$D$25/100/12,0)</f>
        <v/>
      </c>
      <c r="O101" s="48">
        <f>IF(M101&lt;=0,0,MIN(M101+N101,Plan!$E$25+L101))</f>
        <v/>
      </c>
      <c r="P101" s="50">
        <f>MAX(0,M101+N101-O101)</f>
        <v/>
      </c>
      <c r="Q101" s="51">
        <f>L101-IF(M101&lt;=0,0,MAX(0,O101-Plan!$E$25))</f>
        <v/>
      </c>
      <c r="R101" s="48">
        <f>U100</f>
        <v/>
      </c>
      <c r="S101" s="49">
        <f>IF(R101&gt;0,R101*Plan!$D$26/100/12,0)</f>
        <v/>
      </c>
      <c r="T101" s="48">
        <f>IF(R101&lt;=0,0,MIN(R101+S101,Plan!$E$26+Q101))</f>
        <v/>
      </c>
      <c r="U101" s="50">
        <f>MAX(0,R101+S101-T101)</f>
        <v/>
      </c>
      <c r="V101" s="51">
        <f>Q101-IF(R101&lt;=0,0,MAX(0,T101-Plan!$E$26))</f>
        <v/>
      </c>
      <c r="W101" s="48">
        <f>Z100</f>
        <v/>
      </c>
      <c r="X101" s="49">
        <f>IF(W101&gt;0,W101*Plan!$D$27/100/12,0)</f>
        <v/>
      </c>
      <c r="Y101" s="48">
        <f>IF(W101&lt;=0,0,MIN(W101+X101,Plan!$E$27+V101))</f>
        <v/>
      </c>
      <c r="Z101" s="50">
        <f>MAX(0,W101+X101-Y101)</f>
        <v/>
      </c>
      <c r="AA101" s="51">
        <f>V101-IF(W101&lt;=0,0,MAX(0,Y101-Plan!$E$27))</f>
        <v/>
      </c>
      <c r="AB101" s="48">
        <f>AE100</f>
        <v/>
      </c>
      <c r="AC101" s="49">
        <f>IF(AB101&gt;0,AB101*Plan!$D$28/100/12,0)</f>
        <v/>
      </c>
      <c r="AD101" s="48">
        <f>IF(AB101&lt;=0,0,MIN(AB101+AC101,Plan!$E$28+AA101))</f>
        <v/>
      </c>
      <c r="AE101" s="50">
        <f>MAX(0,AB101+AC101-AD101)</f>
        <v/>
      </c>
      <c r="AF101" s="51">
        <f>AA101-IF(AB101&lt;=0,0,MAX(0,AD101-Plan!$E$28))</f>
        <v/>
      </c>
      <c r="AG101" s="50">
        <f>F101+K101+P101+U101+Z101+AE101</f>
        <v/>
      </c>
    </row>
    <row r="102">
      <c r="A102" s="40" t="n">
        <v>95</v>
      </c>
      <c r="B102" s="41">
        <f>EDATE(Plan!$C$18,94)</f>
        <v/>
      </c>
      <c r="C102" s="42">
        <f>F101</f>
        <v/>
      </c>
      <c r="D102" s="43">
        <f>IF(C102&gt;0,C102*Plan!$D$23/100/12,0)</f>
        <v/>
      </c>
      <c r="E102" s="42">
        <f>IF(C102&lt;=0,0,MIN(C102+D102,Plan!$E$23+(Plan!$C$17+IF(C102&lt;=0,Plan!$E$23,MAX(0,Plan!$E$23-(C102+D102)))+IF(H102&lt;=0,Plan!$E$24,MAX(0,Plan!$E$24-(H102+I102)))+IF(M102&lt;=0,Plan!$E$25,MAX(0,Plan!$E$25-(M102+N102)))+IF(R102&lt;=0,Plan!$E$26,MAX(0,Plan!$E$26-(R102+S102)))+IF(W102&lt;=0,Plan!$E$27,MAX(0,Plan!$E$27-(W102+X102)))+IF(AB102&lt;=0,Plan!$E$28,MAX(0,Plan!$E$28-(AB102+AC102))))))</f>
        <v/>
      </c>
      <c r="F102" s="44">
        <f>MAX(0,C102+D102-E102)</f>
        <v/>
      </c>
      <c r="G102" s="45">
        <f>(Plan!$C$17+IF(C102&lt;=0,Plan!$E$23,MAX(0,Plan!$E$23-(C102+D102)))+IF(H102&lt;=0,Plan!$E$24,MAX(0,Plan!$E$24-(H102+I102)))+IF(M102&lt;=0,Plan!$E$25,MAX(0,Plan!$E$25-(M102+N102)))+IF(R102&lt;=0,Plan!$E$26,MAX(0,Plan!$E$26-(R102+S102)))+IF(W102&lt;=0,Plan!$E$27,MAX(0,Plan!$E$27-(W102+X102)))+IF(AB102&lt;=0,Plan!$E$28,MAX(0,Plan!$E$28-(AB102+AC102))))-IF(C102&lt;=0,0,MAX(0,E102-Plan!$E$23))</f>
        <v/>
      </c>
      <c r="H102" s="42">
        <f>K101</f>
        <v/>
      </c>
      <c r="I102" s="43">
        <f>IF(H102&gt;0,H102*Plan!$D$24/100/12,0)</f>
        <v/>
      </c>
      <c r="J102" s="42">
        <f>IF(H102&lt;=0,0,MIN(H102+I102,Plan!$E$24+G102))</f>
        <v/>
      </c>
      <c r="K102" s="44">
        <f>MAX(0,H102+I102-J102)</f>
        <v/>
      </c>
      <c r="L102" s="45">
        <f>G102-IF(H102&lt;=0,0,MAX(0,J102-Plan!$E$24))</f>
        <v/>
      </c>
      <c r="M102" s="42">
        <f>P101</f>
        <v/>
      </c>
      <c r="N102" s="43">
        <f>IF(M102&gt;0,M102*Plan!$D$25/100/12,0)</f>
        <v/>
      </c>
      <c r="O102" s="42">
        <f>IF(M102&lt;=0,0,MIN(M102+N102,Plan!$E$25+L102))</f>
        <v/>
      </c>
      <c r="P102" s="44">
        <f>MAX(0,M102+N102-O102)</f>
        <v/>
      </c>
      <c r="Q102" s="45">
        <f>L102-IF(M102&lt;=0,0,MAX(0,O102-Plan!$E$25))</f>
        <v/>
      </c>
      <c r="R102" s="42">
        <f>U101</f>
        <v/>
      </c>
      <c r="S102" s="43">
        <f>IF(R102&gt;0,R102*Plan!$D$26/100/12,0)</f>
        <v/>
      </c>
      <c r="T102" s="42">
        <f>IF(R102&lt;=0,0,MIN(R102+S102,Plan!$E$26+Q102))</f>
        <v/>
      </c>
      <c r="U102" s="44">
        <f>MAX(0,R102+S102-T102)</f>
        <v/>
      </c>
      <c r="V102" s="45">
        <f>Q102-IF(R102&lt;=0,0,MAX(0,T102-Plan!$E$26))</f>
        <v/>
      </c>
      <c r="W102" s="42">
        <f>Z101</f>
        <v/>
      </c>
      <c r="X102" s="43">
        <f>IF(W102&gt;0,W102*Plan!$D$27/100/12,0)</f>
        <v/>
      </c>
      <c r="Y102" s="42">
        <f>IF(W102&lt;=0,0,MIN(W102+X102,Plan!$E$27+V102))</f>
        <v/>
      </c>
      <c r="Z102" s="44">
        <f>MAX(0,W102+X102-Y102)</f>
        <v/>
      </c>
      <c r="AA102" s="45">
        <f>V102-IF(W102&lt;=0,0,MAX(0,Y102-Plan!$E$27))</f>
        <v/>
      </c>
      <c r="AB102" s="42">
        <f>AE101</f>
        <v/>
      </c>
      <c r="AC102" s="43">
        <f>IF(AB102&gt;0,AB102*Plan!$D$28/100/12,0)</f>
        <v/>
      </c>
      <c r="AD102" s="42">
        <f>IF(AB102&lt;=0,0,MIN(AB102+AC102,Plan!$E$28+AA102))</f>
        <v/>
      </c>
      <c r="AE102" s="44">
        <f>MAX(0,AB102+AC102-AD102)</f>
        <v/>
      </c>
      <c r="AF102" s="45">
        <f>AA102-IF(AB102&lt;=0,0,MAX(0,AD102-Plan!$E$28))</f>
        <v/>
      </c>
      <c r="AG102" s="44">
        <f>F102+K102+P102+U102+Z102+AE102</f>
        <v/>
      </c>
    </row>
    <row r="103">
      <c r="A103" s="46" t="n">
        <v>96</v>
      </c>
      <c r="B103" s="47">
        <f>EDATE(Plan!$C$18,95)</f>
        <v/>
      </c>
      <c r="C103" s="48">
        <f>F102</f>
        <v/>
      </c>
      <c r="D103" s="49">
        <f>IF(C103&gt;0,C103*Plan!$D$23/100/12,0)</f>
        <v/>
      </c>
      <c r="E103" s="48">
        <f>IF(C103&lt;=0,0,MIN(C103+D103,Plan!$E$23+(Plan!$C$17+IF(C103&lt;=0,Plan!$E$23,MAX(0,Plan!$E$23-(C103+D103)))+IF(H103&lt;=0,Plan!$E$24,MAX(0,Plan!$E$24-(H103+I103)))+IF(M103&lt;=0,Plan!$E$25,MAX(0,Plan!$E$25-(M103+N103)))+IF(R103&lt;=0,Plan!$E$26,MAX(0,Plan!$E$26-(R103+S103)))+IF(W103&lt;=0,Plan!$E$27,MAX(0,Plan!$E$27-(W103+X103)))+IF(AB103&lt;=0,Plan!$E$28,MAX(0,Plan!$E$28-(AB103+AC103))))))</f>
        <v/>
      </c>
      <c r="F103" s="50">
        <f>MAX(0,C103+D103-E103)</f>
        <v/>
      </c>
      <c r="G103" s="51">
        <f>(Plan!$C$17+IF(C103&lt;=0,Plan!$E$23,MAX(0,Plan!$E$23-(C103+D103)))+IF(H103&lt;=0,Plan!$E$24,MAX(0,Plan!$E$24-(H103+I103)))+IF(M103&lt;=0,Plan!$E$25,MAX(0,Plan!$E$25-(M103+N103)))+IF(R103&lt;=0,Plan!$E$26,MAX(0,Plan!$E$26-(R103+S103)))+IF(W103&lt;=0,Plan!$E$27,MAX(0,Plan!$E$27-(W103+X103)))+IF(AB103&lt;=0,Plan!$E$28,MAX(0,Plan!$E$28-(AB103+AC103))))-IF(C103&lt;=0,0,MAX(0,E103-Plan!$E$23))</f>
        <v/>
      </c>
      <c r="H103" s="48">
        <f>K102</f>
        <v/>
      </c>
      <c r="I103" s="49">
        <f>IF(H103&gt;0,H103*Plan!$D$24/100/12,0)</f>
        <v/>
      </c>
      <c r="J103" s="48">
        <f>IF(H103&lt;=0,0,MIN(H103+I103,Plan!$E$24+G103))</f>
        <v/>
      </c>
      <c r="K103" s="50">
        <f>MAX(0,H103+I103-J103)</f>
        <v/>
      </c>
      <c r="L103" s="51">
        <f>G103-IF(H103&lt;=0,0,MAX(0,J103-Plan!$E$24))</f>
        <v/>
      </c>
      <c r="M103" s="48">
        <f>P102</f>
        <v/>
      </c>
      <c r="N103" s="49">
        <f>IF(M103&gt;0,M103*Plan!$D$25/100/12,0)</f>
        <v/>
      </c>
      <c r="O103" s="48">
        <f>IF(M103&lt;=0,0,MIN(M103+N103,Plan!$E$25+L103))</f>
        <v/>
      </c>
      <c r="P103" s="50">
        <f>MAX(0,M103+N103-O103)</f>
        <v/>
      </c>
      <c r="Q103" s="51">
        <f>L103-IF(M103&lt;=0,0,MAX(0,O103-Plan!$E$25))</f>
        <v/>
      </c>
      <c r="R103" s="48">
        <f>U102</f>
        <v/>
      </c>
      <c r="S103" s="49">
        <f>IF(R103&gt;0,R103*Plan!$D$26/100/12,0)</f>
        <v/>
      </c>
      <c r="T103" s="48">
        <f>IF(R103&lt;=0,0,MIN(R103+S103,Plan!$E$26+Q103))</f>
        <v/>
      </c>
      <c r="U103" s="50">
        <f>MAX(0,R103+S103-T103)</f>
        <v/>
      </c>
      <c r="V103" s="51">
        <f>Q103-IF(R103&lt;=0,0,MAX(0,T103-Plan!$E$26))</f>
        <v/>
      </c>
      <c r="W103" s="48">
        <f>Z102</f>
        <v/>
      </c>
      <c r="X103" s="49">
        <f>IF(W103&gt;0,W103*Plan!$D$27/100/12,0)</f>
        <v/>
      </c>
      <c r="Y103" s="48">
        <f>IF(W103&lt;=0,0,MIN(W103+X103,Plan!$E$27+V103))</f>
        <v/>
      </c>
      <c r="Z103" s="50">
        <f>MAX(0,W103+X103-Y103)</f>
        <v/>
      </c>
      <c r="AA103" s="51">
        <f>V103-IF(W103&lt;=0,0,MAX(0,Y103-Plan!$E$27))</f>
        <v/>
      </c>
      <c r="AB103" s="48">
        <f>AE102</f>
        <v/>
      </c>
      <c r="AC103" s="49">
        <f>IF(AB103&gt;0,AB103*Plan!$D$28/100/12,0)</f>
        <v/>
      </c>
      <c r="AD103" s="48">
        <f>IF(AB103&lt;=0,0,MIN(AB103+AC103,Plan!$E$28+AA103))</f>
        <v/>
      </c>
      <c r="AE103" s="50">
        <f>MAX(0,AB103+AC103-AD103)</f>
        <v/>
      </c>
      <c r="AF103" s="51">
        <f>AA103-IF(AB103&lt;=0,0,MAX(0,AD103-Plan!$E$28))</f>
        <v/>
      </c>
      <c r="AG103" s="50">
        <f>F103+K103+P103+U103+Z103+AE103</f>
        <v/>
      </c>
    </row>
    <row r="104">
      <c r="A104" s="40" t="n">
        <v>97</v>
      </c>
      <c r="B104" s="41">
        <f>EDATE(Plan!$C$18,96)</f>
        <v/>
      </c>
      <c r="C104" s="42">
        <f>F103</f>
        <v/>
      </c>
      <c r="D104" s="43">
        <f>IF(C104&gt;0,C104*Plan!$D$23/100/12,0)</f>
        <v/>
      </c>
      <c r="E104" s="42">
        <f>IF(C104&lt;=0,0,MIN(C104+D104,Plan!$E$23+(Plan!$C$17+IF(C104&lt;=0,Plan!$E$23,MAX(0,Plan!$E$23-(C104+D104)))+IF(H104&lt;=0,Plan!$E$24,MAX(0,Plan!$E$24-(H104+I104)))+IF(M104&lt;=0,Plan!$E$25,MAX(0,Plan!$E$25-(M104+N104)))+IF(R104&lt;=0,Plan!$E$26,MAX(0,Plan!$E$26-(R104+S104)))+IF(W104&lt;=0,Plan!$E$27,MAX(0,Plan!$E$27-(W104+X104)))+IF(AB104&lt;=0,Plan!$E$28,MAX(0,Plan!$E$28-(AB104+AC104))))))</f>
        <v/>
      </c>
      <c r="F104" s="44">
        <f>MAX(0,C104+D104-E104)</f>
        <v/>
      </c>
      <c r="G104" s="45">
        <f>(Plan!$C$17+IF(C104&lt;=0,Plan!$E$23,MAX(0,Plan!$E$23-(C104+D104)))+IF(H104&lt;=0,Plan!$E$24,MAX(0,Plan!$E$24-(H104+I104)))+IF(M104&lt;=0,Plan!$E$25,MAX(0,Plan!$E$25-(M104+N104)))+IF(R104&lt;=0,Plan!$E$26,MAX(0,Plan!$E$26-(R104+S104)))+IF(W104&lt;=0,Plan!$E$27,MAX(0,Plan!$E$27-(W104+X104)))+IF(AB104&lt;=0,Plan!$E$28,MAX(0,Plan!$E$28-(AB104+AC104))))-IF(C104&lt;=0,0,MAX(0,E104-Plan!$E$23))</f>
        <v/>
      </c>
      <c r="H104" s="42">
        <f>K103</f>
        <v/>
      </c>
      <c r="I104" s="43">
        <f>IF(H104&gt;0,H104*Plan!$D$24/100/12,0)</f>
        <v/>
      </c>
      <c r="J104" s="42">
        <f>IF(H104&lt;=0,0,MIN(H104+I104,Plan!$E$24+G104))</f>
        <v/>
      </c>
      <c r="K104" s="44">
        <f>MAX(0,H104+I104-J104)</f>
        <v/>
      </c>
      <c r="L104" s="45">
        <f>G104-IF(H104&lt;=0,0,MAX(0,J104-Plan!$E$24))</f>
        <v/>
      </c>
      <c r="M104" s="42">
        <f>P103</f>
        <v/>
      </c>
      <c r="N104" s="43">
        <f>IF(M104&gt;0,M104*Plan!$D$25/100/12,0)</f>
        <v/>
      </c>
      <c r="O104" s="42">
        <f>IF(M104&lt;=0,0,MIN(M104+N104,Plan!$E$25+L104))</f>
        <v/>
      </c>
      <c r="P104" s="44">
        <f>MAX(0,M104+N104-O104)</f>
        <v/>
      </c>
      <c r="Q104" s="45">
        <f>L104-IF(M104&lt;=0,0,MAX(0,O104-Plan!$E$25))</f>
        <v/>
      </c>
      <c r="R104" s="42">
        <f>U103</f>
        <v/>
      </c>
      <c r="S104" s="43">
        <f>IF(R104&gt;0,R104*Plan!$D$26/100/12,0)</f>
        <v/>
      </c>
      <c r="T104" s="42">
        <f>IF(R104&lt;=0,0,MIN(R104+S104,Plan!$E$26+Q104))</f>
        <v/>
      </c>
      <c r="U104" s="44">
        <f>MAX(0,R104+S104-T104)</f>
        <v/>
      </c>
      <c r="V104" s="45">
        <f>Q104-IF(R104&lt;=0,0,MAX(0,T104-Plan!$E$26))</f>
        <v/>
      </c>
      <c r="W104" s="42">
        <f>Z103</f>
        <v/>
      </c>
      <c r="X104" s="43">
        <f>IF(W104&gt;0,W104*Plan!$D$27/100/12,0)</f>
        <v/>
      </c>
      <c r="Y104" s="42">
        <f>IF(W104&lt;=0,0,MIN(W104+X104,Plan!$E$27+V104))</f>
        <v/>
      </c>
      <c r="Z104" s="44">
        <f>MAX(0,W104+X104-Y104)</f>
        <v/>
      </c>
      <c r="AA104" s="45">
        <f>V104-IF(W104&lt;=0,0,MAX(0,Y104-Plan!$E$27))</f>
        <v/>
      </c>
      <c r="AB104" s="42">
        <f>AE103</f>
        <v/>
      </c>
      <c r="AC104" s="43">
        <f>IF(AB104&gt;0,AB104*Plan!$D$28/100/12,0)</f>
        <v/>
      </c>
      <c r="AD104" s="42">
        <f>IF(AB104&lt;=0,0,MIN(AB104+AC104,Plan!$E$28+AA104))</f>
        <v/>
      </c>
      <c r="AE104" s="44">
        <f>MAX(0,AB104+AC104-AD104)</f>
        <v/>
      </c>
      <c r="AF104" s="45">
        <f>AA104-IF(AB104&lt;=0,0,MAX(0,AD104-Plan!$E$28))</f>
        <v/>
      </c>
      <c r="AG104" s="44">
        <f>F104+K104+P104+U104+Z104+AE104</f>
        <v/>
      </c>
    </row>
    <row r="105">
      <c r="A105" s="46" t="n">
        <v>98</v>
      </c>
      <c r="B105" s="47">
        <f>EDATE(Plan!$C$18,97)</f>
        <v/>
      </c>
      <c r="C105" s="48">
        <f>F104</f>
        <v/>
      </c>
      <c r="D105" s="49">
        <f>IF(C105&gt;0,C105*Plan!$D$23/100/12,0)</f>
        <v/>
      </c>
      <c r="E105" s="48">
        <f>IF(C105&lt;=0,0,MIN(C105+D105,Plan!$E$23+(Plan!$C$17+IF(C105&lt;=0,Plan!$E$23,MAX(0,Plan!$E$23-(C105+D105)))+IF(H105&lt;=0,Plan!$E$24,MAX(0,Plan!$E$24-(H105+I105)))+IF(M105&lt;=0,Plan!$E$25,MAX(0,Plan!$E$25-(M105+N105)))+IF(R105&lt;=0,Plan!$E$26,MAX(0,Plan!$E$26-(R105+S105)))+IF(W105&lt;=0,Plan!$E$27,MAX(0,Plan!$E$27-(W105+X105)))+IF(AB105&lt;=0,Plan!$E$28,MAX(0,Plan!$E$28-(AB105+AC105))))))</f>
        <v/>
      </c>
      <c r="F105" s="50">
        <f>MAX(0,C105+D105-E105)</f>
        <v/>
      </c>
      <c r="G105" s="51">
        <f>(Plan!$C$17+IF(C105&lt;=0,Plan!$E$23,MAX(0,Plan!$E$23-(C105+D105)))+IF(H105&lt;=0,Plan!$E$24,MAX(0,Plan!$E$24-(H105+I105)))+IF(M105&lt;=0,Plan!$E$25,MAX(0,Plan!$E$25-(M105+N105)))+IF(R105&lt;=0,Plan!$E$26,MAX(0,Plan!$E$26-(R105+S105)))+IF(W105&lt;=0,Plan!$E$27,MAX(0,Plan!$E$27-(W105+X105)))+IF(AB105&lt;=0,Plan!$E$28,MAX(0,Plan!$E$28-(AB105+AC105))))-IF(C105&lt;=0,0,MAX(0,E105-Plan!$E$23))</f>
        <v/>
      </c>
      <c r="H105" s="48">
        <f>K104</f>
        <v/>
      </c>
      <c r="I105" s="49">
        <f>IF(H105&gt;0,H105*Plan!$D$24/100/12,0)</f>
        <v/>
      </c>
      <c r="J105" s="48">
        <f>IF(H105&lt;=0,0,MIN(H105+I105,Plan!$E$24+G105))</f>
        <v/>
      </c>
      <c r="K105" s="50">
        <f>MAX(0,H105+I105-J105)</f>
        <v/>
      </c>
      <c r="L105" s="51">
        <f>G105-IF(H105&lt;=0,0,MAX(0,J105-Plan!$E$24))</f>
        <v/>
      </c>
      <c r="M105" s="48">
        <f>P104</f>
        <v/>
      </c>
      <c r="N105" s="49">
        <f>IF(M105&gt;0,M105*Plan!$D$25/100/12,0)</f>
        <v/>
      </c>
      <c r="O105" s="48">
        <f>IF(M105&lt;=0,0,MIN(M105+N105,Plan!$E$25+L105))</f>
        <v/>
      </c>
      <c r="P105" s="50">
        <f>MAX(0,M105+N105-O105)</f>
        <v/>
      </c>
      <c r="Q105" s="51">
        <f>L105-IF(M105&lt;=0,0,MAX(0,O105-Plan!$E$25))</f>
        <v/>
      </c>
      <c r="R105" s="48">
        <f>U104</f>
        <v/>
      </c>
      <c r="S105" s="49">
        <f>IF(R105&gt;0,R105*Plan!$D$26/100/12,0)</f>
        <v/>
      </c>
      <c r="T105" s="48">
        <f>IF(R105&lt;=0,0,MIN(R105+S105,Plan!$E$26+Q105))</f>
        <v/>
      </c>
      <c r="U105" s="50">
        <f>MAX(0,R105+S105-T105)</f>
        <v/>
      </c>
      <c r="V105" s="51">
        <f>Q105-IF(R105&lt;=0,0,MAX(0,T105-Plan!$E$26))</f>
        <v/>
      </c>
      <c r="W105" s="48">
        <f>Z104</f>
        <v/>
      </c>
      <c r="X105" s="49">
        <f>IF(W105&gt;0,W105*Plan!$D$27/100/12,0)</f>
        <v/>
      </c>
      <c r="Y105" s="48">
        <f>IF(W105&lt;=0,0,MIN(W105+X105,Plan!$E$27+V105))</f>
        <v/>
      </c>
      <c r="Z105" s="50">
        <f>MAX(0,W105+X105-Y105)</f>
        <v/>
      </c>
      <c r="AA105" s="51">
        <f>V105-IF(W105&lt;=0,0,MAX(0,Y105-Plan!$E$27))</f>
        <v/>
      </c>
      <c r="AB105" s="48">
        <f>AE104</f>
        <v/>
      </c>
      <c r="AC105" s="49">
        <f>IF(AB105&gt;0,AB105*Plan!$D$28/100/12,0)</f>
        <v/>
      </c>
      <c r="AD105" s="48">
        <f>IF(AB105&lt;=0,0,MIN(AB105+AC105,Plan!$E$28+AA105))</f>
        <v/>
      </c>
      <c r="AE105" s="50">
        <f>MAX(0,AB105+AC105-AD105)</f>
        <v/>
      </c>
      <c r="AF105" s="51">
        <f>AA105-IF(AB105&lt;=0,0,MAX(0,AD105-Plan!$E$28))</f>
        <v/>
      </c>
      <c r="AG105" s="50">
        <f>F105+K105+P105+U105+Z105+AE105</f>
        <v/>
      </c>
    </row>
    <row r="106">
      <c r="A106" s="40" t="n">
        <v>99</v>
      </c>
      <c r="B106" s="41">
        <f>EDATE(Plan!$C$18,98)</f>
        <v/>
      </c>
      <c r="C106" s="42">
        <f>F105</f>
        <v/>
      </c>
      <c r="D106" s="43">
        <f>IF(C106&gt;0,C106*Plan!$D$23/100/12,0)</f>
        <v/>
      </c>
      <c r="E106" s="42">
        <f>IF(C106&lt;=0,0,MIN(C106+D106,Plan!$E$23+(Plan!$C$17+IF(C106&lt;=0,Plan!$E$23,MAX(0,Plan!$E$23-(C106+D106)))+IF(H106&lt;=0,Plan!$E$24,MAX(0,Plan!$E$24-(H106+I106)))+IF(M106&lt;=0,Plan!$E$25,MAX(0,Plan!$E$25-(M106+N106)))+IF(R106&lt;=0,Plan!$E$26,MAX(0,Plan!$E$26-(R106+S106)))+IF(W106&lt;=0,Plan!$E$27,MAX(0,Plan!$E$27-(W106+X106)))+IF(AB106&lt;=0,Plan!$E$28,MAX(0,Plan!$E$28-(AB106+AC106))))))</f>
        <v/>
      </c>
      <c r="F106" s="44">
        <f>MAX(0,C106+D106-E106)</f>
        <v/>
      </c>
      <c r="G106" s="45">
        <f>(Plan!$C$17+IF(C106&lt;=0,Plan!$E$23,MAX(0,Plan!$E$23-(C106+D106)))+IF(H106&lt;=0,Plan!$E$24,MAX(0,Plan!$E$24-(H106+I106)))+IF(M106&lt;=0,Plan!$E$25,MAX(0,Plan!$E$25-(M106+N106)))+IF(R106&lt;=0,Plan!$E$26,MAX(0,Plan!$E$26-(R106+S106)))+IF(W106&lt;=0,Plan!$E$27,MAX(0,Plan!$E$27-(W106+X106)))+IF(AB106&lt;=0,Plan!$E$28,MAX(0,Plan!$E$28-(AB106+AC106))))-IF(C106&lt;=0,0,MAX(0,E106-Plan!$E$23))</f>
        <v/>
      </c>
      <c r="H106" s="42">
        <f>K105</f>
        <v/>
      </c>
      <c r="I106" s="43">
        <f>IF(H106&gt;0,H106*Plan!$D$24/100/12,0)</f>
        <v/>
      </c>
      <c r="J106" s="42">
        <f>IF(H106&lt;=0,0,MIN(H106+I106,Plan!$E$24+G106))</f>
        <v/>
      </c>
      <c r="K106" s="44">
        <f>MAX(0,H106+I106-J106)</f>
        <v/>
      </c>
      <c r="L106" s="45">
        <f>G106-IF(H106&lt;=0,0,MAX(0,J106-Plan!$E$24))</f>
        <v/>
      </c>
      <c r="M106" s="42">
        <f>P105</f>
        <v/>
      </c>
      <c r="N106" s="43">
        <f>IF(M106&gt;0,M106*Plan!$D$25/100/12,0)</f>
        <v/>
      </c>
      <c r="O106" s="42">
        <f>IF(M106&lt;=0,0,MIN(M106+N106,Plan!$E$25+L106))</f>
        <v/>
      </c>
      <c r="P106" s="44">
        <f>MAX(0,M106+N106-O106)</f>
        <v/>
      </c>
      <c r="Q106" s="45">
        <f>L106-IF(M106&lt;=0,0,MAX(0,O106-Plan!$E$25))</f>
        <v/>
      </c>
      <c r="R106" s="42">
        <f>U105</f>
        <v/>
      </c>
      <c r="S106" s="43">
        <f>IF(R106&gt;0,R106*Plan!$D$26/100/12,0)</f>
        <v/>
      </c>
      <c r="T106" s="42">
        <f>IF(R106&lt;=0,0,MIN(R106+S106,Plan!$E$26+Q106))</f>
        <v/>
      </c>
      <c r="U106" s="44">
        <f>MAX(0,R106+S106-T106)</f>
        <v/>
      </c>
      <c r="V106" s="45">
        <f>Q106-IF(R106&lt;=0,0,MAX(0,T106-Plan!$E$26))</f>
        <v/>
      </c>
      <c r="W106" s="42">
        <f>Z105</f>
        <v/>
      </c>
      <c r="X106" s="43">
        <f>IF(W106&gt;0,W106*Plan!$D$27/100/12,0)</f>
        <v/>
      </c>
      <c r="Y106" s="42">
        <f>IF(W106&lt;=0,0,MIN(W106+X106,Plan!$E$27+V106))</f>
        <v/>
      </c>
      <c r="Z106" s="44">
        <f>MAX(0,W106+X106-Y106)</f>
        <v/>
      </c>
      <c r="AA106" s="45">
        <f>V106-IF(W106&lt;=0,0,MAX(0,Y106-Plan!$E$27))</f>
        <v/>
      </c>
      <c r="AB106" s="42">
        <f>AE105</f>
        <v/>
      </c>
      <c r="AC106" s="43">
        <f>IF(AB106&gt;0,AB106*Plan!$D$28/100/12,0)</f>
        <v/>
      </c>
      <c r="AD106" s="42">
        <f>IF(AB106&lt;=0,0,MIN(AB106+AC106,Plan!$E$28+AA106))</f>
        <v/>
      </c>
      <c r="AE106" s="44">
        <f>MAX(0,AB106+AC106-AD106)</f>
        <v/>
      </c>
      <c r="AF106" s="45">
        <f>AA106-IF(AB106&lt;=0,0,MAX(0,AD106-Plan!$E$28))</f>
        <v/>
      </c>
      <c r="AG106" s="44">
        <f>F106+K106+P106+U106+Z106+AE106</f>
        <v/>
      </c>
    </row>
    <row r="107">
      <c r="A107" s="46" t="n">
        <v>100</v>
      </c>
      <c r="B107" s="47">
        <f>EDATE(Plan!$C$18,99)</f>
        <v/>
      </c>
      <c r="C107" s="48">
        <f>F106</f>
        <v/>
      </c>
      <c r="D107" s="49">
        <f>IF(C107&gt;0,C107*Plan!$D$23/100/12,0)</f>
        <v/>
      </c>
      <c r="E107" s="48">
        <f>IF(C107&lt;=0,0,MIN(C107+D107,Plan!$E$23+(Plan!$C$17+IF(C107&lt;=0,Plan!$E$23,MAX(0,Plan!$E$23-(C107+D107)))+IF(H107&lt;=0,Plan!$E$24,MAX(0,Plan!$E$24-(H107+I107)))+IF(M107&lt;=0,Plan!$E$25,MAX(0,Plan!$E$25-(M107+N107)))+IF(R107&lt;=0,Plan!$E$26,MAX(0,Plan!$E$26-(R107+S107)))+IF(W107&lt;=0,Plan!$E$27,MAX(0,Plan!$E$27-(W107+X107)))+IF(AB107&lt;=0,Plan!$E$28,MAX(0,Plan!$E$28-(AB107+AC107))))))</f>
        <v/>
      </c>
      <c r="F107" s="50">
        <f>MAX(0,C107+D107-E107)</f>
        <v/>
      </c>
      <c r="G107" s="51">
        <f>(Plan!$C$17+IF(C107&lt;=0,Plan!$E$23,MAX(0,Plan!$E$23-(C107+D107)))+IF(H107&lt;=0,Plan!$E$24,MAX(0,Plan!$E$24-(H107+I107)))+IF(M107&lt;=0,Plan!$E$25,MAX(0,Plan!$E$25-(M107+N107)))+IF(R107&lt;=0,Plan!$E$26,MAX(0,Plan!$E$26-(R107+S107)))+IF(W107&lt;=0,Plan!$E$27,MAX(0,Plan!$E$27-(W107+X107)))+IF(AB107&lt;=0,Plan!$E$28,MAX(0,Plan!$E$28-(AB107+AC107))))-IF(C107&lt;=0,0,MAX(0,E107-Plan!$E$23))</f>
        <v/>
      </c>
      <c r="H107" s="48">
        <f>K106</f>
        <v/>
      </c>
      <c r="I107" s="49">
        <f>IF(H107&gt;0,H107*Plan!$D$24/100/12,0)</f>
        <v/>
      </c>
      <c r="J107" s="48">
        <f>IF(H107&lt;=0,0,MIN(H107+I107,Plan!$E$24+G107))</f>
        <v/>
      </c>
      <c r="K107" s="50">
        <f>MAX(0,H107+I107-J107)</f>
        <v/>
      </c>
      <c r="L107" s="51">
        <f>G107-IF(H107&lt;=0,0,MAX(0,J107-Plan!$E$24))</f>
        <v/>
      </c>
      <c r="M107" s="48">
        <f>P106</f>
        <v/>
      </c>
      <c r="N107" s="49">
        <f>IF(M107&gt;0,M107*Plan!$D$25/100/12,0)</f>
        <v/>
      </c>
      <c r="O107" s="48">
        <f>IF(M107&lt;=0,0,MIN(M107+N107,Plan!$E$25+L107))</f>
        <v/>
      </c>
      <c r="P107" s="50">
        <f>MAX(0,M107+N107-O107)</f>
        <v/>
      </c>
      <c r="Q107" s="51">
        <f>L107-IF(M107&lt;=0,0,MAX(0,O107-Plan!$E$25))</f>
        <v/>
      </c>
      <c r="R107" s="48">
        <f>U106</f>
        <v/>
      </c>
      <c r="S107" s="49">
        <f>IF(R107&gt;0,R107*Plan!$D$26/100/12,0)</f>
        <v/>
      </c>
      <c r="T107" s="48">
        <f>IF(R107&lt;=0,0,MIN(R107+S107,Plan!$E$26+Q107))</f>
        <v/>
      </c>
      <c r="U107" s="50">
        <f>MAX(0,R107+S107-T107)</f>
        <v/>
      </c>
      <c r="V107" s="51">
        <f>Q107-IF(R107&lt;=0,0,MAX(0,T107-Plan!$E$26))</f>
        <v/>
      </c>
      <c r="W107" s="48">
        <f>Z106</f>
        <v/>
      </c>
      <c r="X107" s="49">
        <f>IF(W107&gt;0,W107*Plan!$D$27/100/12,0)</f>
        <v/>
      </c>
      <c r="Y107" s="48">
        <f>IF(W107&lt;=0,0,MIN(W107+X107,Plan!$E$27+V107))</f>
        <v/>
      </c>
      <c r="Z107" s="50">
        <f>MAX(0,W107+X107-Y107)</f>
        <v/>
      </c>
      <c r="AA107" s="51">
        <f>V107-IF(W107&lt;=0,0,MAX(0,Y107-Plan!$E$27))</f>
        <v/>
      </c>
      <c r="AB107" s="48">
        <f>AE106</f>
        <v/>
      </c>
      <c r="AC107" s="49">
        <f>IF(AB107&gt;0,AB107*Plan!$D$28/100/12,0)</f>
        <v/>
      </c>
      <c r="AD107" s="48">
        <f>IF(AB107&lt;=0,0,MIN(AB107+AC107,Plan!$E$28+AA107))</f>
        <v/>
      </c>
      <c r="AE107" s="50">
        <f>MAX(0,AB107+AC107-AD107)</f>
        <v/>
      </c>
      <c r="AF107" s="51">
        <f>AA107-IF(AB107&lt;=0,0,MAX(0,AD107-Plan!$E$28))</f>
        <v/>
      </c>
      <c r="AG107" s="50">
        <f>F107+K107+P107+U107+Z107+AE107</f>
        <v/>
      </c>
    </row>
    <row r="108">
      <c r="A108" s="40" t="n">
        <v>101</v>
      </c>
      <c r="B108" s="41">
        <f>EDATE(Plan!$C$18,100)</f>
        <v/>
      </c>
      <c r="C108" s="42">
        <f>F107</f>
        <v/>
      </c>
      <c r="D108" s="43">
        <f>IF(C108&gt;0,C108*Plan!$D$23/100/12,0)</f>
        <v/>
      </c>
      <c r="E108" s="42">
        <f>IF(C108&lt;=0,0,MIN(C108+D108,Plan!$E$23+(Plan!$C$17+IF(C108&lt;=0,Plan!$E$23,MAX(0,Plan!$E$23-(C108+D108)))+IF(H108&lt;=0,Plan!$E$24,MAX(0,Plan!$E$24-(H108+I108)))+IF(M108&lt;=0,Plan!$E$25,MAX(0,Plan!$E$25-(M108+N108)))+IF(R108&lt;=0,Plan!$E$26,MAX(0,Plan!$E$26-(R108+S108)))+IF(W108&lt;=0,Plan!$E$27,MAX(0,Plan!$E$27-(W108+X108)))+IF(AB108&lt;=0,Plan!$E$28,MAX(0,Plan!$E$28-(AB108+AC108))))))</f>
        <v/>
      </c>
      <c r="F108" s="44">
        <f>MAX(0,C108+D108-E108)</f>
        <v/>
      </c>
      <c r="G108" s="45">
        <f>(Plan!$C$17+IF(C108&lt;=0,Plan!$E$23,MAX(0,Plan!$E$23-(C108+D108)))+IF(H108&lt;=0,Plan!$E$24,MAX(0,Plan!$E$24-(H108+I108)))+IF(M108&lt;=0,Plan!$E$25,MAX(0,Plan!$E$25-(M108+N108)))+IF(R108&lt;=0,Plan!$E$26,MAX(0,Plan!$E$26-(R108+S108)))+IF(W108&lt;=0,Plan!$E$27,MAX(0,Plan!$E$27-(W108+X108)))+IF(AB108&lt;=0,Plan!$E$28,MAX(0,Plan!$E$28-(AB108+AC108))))-IF(C108&lt;=0,0,MAX(0,E108-Plan!$E$23))</f>
        <v/>
      </c>
      <c r="H108" s="42">
        <f>K107</f>
        <v/>
      </c>
      <c r="I108" s="43">
        <f>IF(H108&gt;0,H108*Plan!$D$24/100/12,0)</f>
        <v/>
      </c>
      <c r="J108" s="42">
        <f>IF(H108&lt;=0,0,MIN(H108+I108,Plan!$E$24+G108))</f>
        <v/>
      </c>
      <c r="K108" s="44">
        <f>MAX(0,H108+I108-J108)</f>
        <v/>
      </c>
      <c r="L108" s="45">
        <f>G108-IF(H108&lt;=0,0,MAX(0,J108-Plan!$E$24))</f>
        <v/>
      </c>
      <c r="M108" s="42">
        <f>P107</f>
        <v/>
      </c>
      <c r="N108" s="43">
        <f>IF(M108&gt;0,M108*Plan!$D$25/100/12,0)</f>
        <v/>
      </c>
      <c r="O108" s="42">
        <f>IF(M108&lt;=0,0,MIN(M108+N108,Plan!$E$25+L108))</f>
        <v/>
      </c>
      <c r="P108" s="44">
        <f>MAX(0,M108+N108-O108)</f>
        <v/>
      </c>
      <c r="Q108" s="45">
        <f>L108-IF(M108&lt;=0,0,MAX(0,O108-Plan!$E$25))</f>
        <v/>
      </c>
      <c r="R108" s="42">
        <f>U107</f>
        <v/>
      </c>
      <c r="S108" s="43">
        <f>IF(R108&gt;0,R108*Plan!$D$26/100/12,0)</f>
        <v/>
      </c>
      <c r="T108" s="42">
        <f>IF(R108&lt;=0,0,MIN(R108+S108,Plan!$E$26+Q108))</f>
        <v/>
      </c>
      <c r="U108" s="44">
        <f>MAX(0,R108+S108-T108)</f>
        <v/>
      </c>
      <c r="V108" s="45">
        <f>Q108-IF(R108&lt;=0,0,MAX(0,T108-Plan!$E$26))</f>
        <v/>
      </c>
      <c r="W108" s="42">
        <f>Z107</f>
        <v/>
      </c>
      <c r="X108" s="43">
        <f>IF(W108&gt;0,W108*Plan!$D$27/100/12,0)</f>
        <v/>
      </c>
      <c r="Y108" s="42">
        <f>IF(W108&lt;=0,0,MIN(W108+X108,Plan!$E$27+V108))</f>
        <v/>
      </c>
      <c r="Z108" s="44">
        <f>MAX(0,W108+X108-Y108)</f>
        <v/>
      </c>
      <c r="AA108" s="45">
        <f>V108-IF(W108&lt;=0,0,MAX(0,Y108-Plan!$E$27))</f>
        <v/>
      </c>
      <c r="AB108" s="42">
        <f>AE107</f>
        <v/>
      </c>
      <c r="AC108" s="43">
        <f>IF(AB108&gt;0,AB108*Plan!$D$28/100/12,0)</f>
        <v/>
      </c>
      <c r="AD108" s="42">
        <f>IF(AB108&lt;=0,0,MIN(AB108+AC108,Plan!$E$28+AA108))</f>
        <v/>
      </c>
      <c r="AE108" s="44">
        <f>MAX(0,AB108+AC108-AD108)</f>
        <v/>
      </c>
      <c r="AF108" s="45">
        <f>AA108-IF(AB108&lt;=0,0,MAX(0,AD108-Plan!$E$28))</f>
        <v/>
      </c>
      <c r="AG108" s="44">
        <f>F108+K108+P108+U108+Z108+AE108</f>
        <v/>
      </c>
    </row>
    <row r="109">
      <c r="A109" s="46" t="n">
        <v>102</v>
      </c>
      <c r="B109" s="47">
        <f>EDATE(Plan!$C$18,101)</f>
        <v/>
      </c>
      <c r="C109" s="48">
        <f>F108</f>
        <v/>
      </c>
      <c r="D109" s="49">
        <f>IF(C109&gt;0,C109*Plan!$D$23/100/12,0)</f>
        <v/>
      </c>
      <c r="E109" s="48">
        <f>IF(C109&lt;=0,0,MIN(C109+D109,Plan!$E$23+(Plan!$C$17+IF(C109&lt;=0,Plan!$E$23,MAX(0,Plan!$E$23-(C109+D109)))+IF(H109&lt;=0,Plan!$E$24,MAX(0,Plan!$E$24-(H109+I109)))+IF(M109&lt;=0,Plan!$E$25,MAX(0,Plan!$E$25-(M109+N109)))+IF(R109&lt;=0,Plan!$E$26,MAX(0,Plan!$E$26-(R109+S109)))+IF(W109&lt;=0,Plan!$E$27,MAX(0,Plan!$E$27-(W109+X109)))+IF(AB109&lt;=0,Plan!$E$28,MAX(0,Plan!$E$28-(AB109+AC109))))))</f>
        <v/>
      </c>
      <c r="F109" s="50">
        <f>MAX(0,C109+D109-E109)</f>
        <v/>
      </c>
      <c r="G109" s="51">
        <f>(Plan!$C$17+IF(C109&lt;=0,Plan!$E$23,MAX(0,Plan!$E$23-(C109+D109)))+IF(H109&lt;=0,Plan!$E$24,MAX(0,Plan!$E$24-(H109+I109)))+IF(M109&lt;=0,Plan!$E$25,MAX(0,Plan!$E$25-(M109+N109)))+IF(R109&lt;=0,Plan!$E$26,MAX(0,Plan!$E$26-(R109+S109)))+IF(W109&lt;=0,Plan!$E$27,MAX(0,Plan!$E$27-(W109+X109)))+IF(AB109&lt;=0,Plan!$E$28,MAX(0,Plan!$E$28-(AB109+AC109))))-IF(C109&lt;=0,0,MAX(0,E109-Plan!$E$23))</f>
        <v/>
      </c>
      <c r="H109" s="48">
        <f>K108</f>
        <v/>
      </c>
      <c r="I109" s="49">
        <f>IF(H109&gt;0,H109*Plan!$D$24/100/12,0)</f>
        <v/>
      </c>
      <c r="J109" s="48">
        <f>IF(H109&lt;=0,0,MIN(H109+I109,Plan!$E$24+G109))</f>
        <v/>
      </c>
      <c r="K109" s="50">
        <f>MAX(0,H109+I109-J109)</f>
        <v/>
      </c>
      <c r="L109" s="51">
        <f>G109-IF(H109&lt;=0,0,MAX(0,J109-Plan!$E$24))</f>
        <v/>
      </c>
      <c r="M109" s="48">
        <f>P108</f>
        <v/>
      </c>
      <c r="N109" s="49">
        <f>IF(M109&gt;0,M109*Plan!$D$25/100/12,0)</f>
        <v/>
      </c>
      <c r="O109" s="48">
        <f>IF(M109&lt;=0,0,MIN(M109+N109,Plan!$E$25+L109))</f>
        <v/>
      </c>
      <c r="P109" s="50">
        <f>MAX(0,M109+N109-O109)</f>
        <v/>
      </c>
      <c r="Q109" s="51">
        <f>L109-IF(M109&lt;=0,0,MAX(0,O109-Plan!$E$25))</f>
        <v/>
      </c>
      <c r="R109" s="48">
        <f>U108</f>
        <v/>
      </c>
      <c r="S109" s="49">
        <f>IF(R109&gt;0,R109*Plan!$D$26/100/12,0)</f>
        <v/>
      </c>
      <c r="T109" s="48">
        <f>IF(R109&lt;=0,0,MIN(R109+S109,Plan!$E$26+Q109))</f>
        <v/>
      </c>
      <c r="U109" s="50">
        <f>MAX(0,R109+S109-T109)</f>
        <v/>
      </c>
      <c r="V109" s="51">
        <f>Q109-IF(R109&lt;=0,0,MAX(0,T109-Plan!$E$26))</f>
        <v/>
      </c>
      <c r="W109" s="48">
        <f>Z108</f>
        <v/>
      </c>
      <c r="X109" s="49">
        <f>IF(W109&gt;0,W109*Plan!$D$27/100/12,0)</f>
        <v/>
      </c>
      <c r="Y109" s="48">
        <f>IF(W109&lt;=0,0,MIN(W109+X109,Plan!$E$27+V109))</f>
        <v/>
      </c>
      <c r="Z109" s="50">
        <f>MAX(0,W109+X109-Y109)</f>
        <v/>
      </c>
      <c r="AA109" s="51">
        <f>V109-IF(W109&lt;=0,0,MAX(0,Y109-Plan!$E$27))</f>
        <v/>
      </c>
      <c r="AB109" s="48">
        <f>AE108</f>
        <v/>
      </c>
      <c r="AC109" s="49">
        <f>IF(AB109&gt;0,AB109*Plan!$D$28/100/12,0)</f>
        <v/>
      </c>
      <c r="AD109" s="48">
        <f>IF(AB109&lt;=0,0,MIN(AB109+AC109,Plan!$E$28+AA109))</f>
        <v/>
      </c>
      <c r="AE109" s="50">
        <f>MAX(0,AB109+AC109-AD109)</f>
        <v/>
      </c>
      <c r="AF109" s="51">
        <f>AA109-IF(AB109&lt;=0,0,MAX(0,AD109-Plan!$E$28))</f>
        <v/>
      </c>
      <c r="AG109" s="50">
        <f>F109+K109+P109+U109+Z109+AE109</f>
        <v/>
      </c>
    </row>
    <row r="110">
      <c r="A110" s="40" t="n">
        <v>103</v>
      </c>
      <c r="B110" s="41">
        <f>EDATE(Plan!$C$18,102)</f>
        <v/>
      </c>
      <c r="C110" s="42">
        <f>F109</f>
        <v/>
      </c>
      <c r="D110" s="43">
        <f>IF(C110&gt;0,C110*Plan!$D$23/100/12,0)</f>
        <v/>
      </c>
      <c r="E110" s="42">
        <f>IF(C110&lt;=0,0,MIN(C110+D110,Plan!$E$23+(Plan!$C$17+IF(C110&lt;=0,Plan!$E$23,MAX(0,Plan!$E$23-(C110+D110)))+IF(H110&lt;=0,Plan!$E$24,MAX(0,Plan!$E$24-(H110+I110)))+IF(M110&lt;=0,Plan!$E$25,MAX(0,Plan!$E$25-(M110+N110)))+IF(R110&lt;=0,Plan!$E$26,MAX(0,Plan!$E$26-(R110+S110)))+IF(W110&lt;=0,Plan!$E$27,MAX(0,Plan!$E$27-(W110+X110)))+IF(AB110&lt;=0,Plan!$E$28,MAX(0,Plan!$E$28-(AB110+AC110))))))</f>
        <v/>
      </c>
      <c r="F110" s="44">
        <f>MAX(0,C110+D110-E110)</f>
        <v/>
      </c>
      <c r="G110" s="45">
        <f>(Plan!$C$17+IF(C110&lt;=0,Plan!$E$23,MAX(0,Plan!$E$23-(C110+D110)))+IF(H110&lt;=0,Plan!$E$24,MAX(0,Plan!$E$24-(H110+I110)))+IF(M110&lt;=0,Plan!$E$25,MAX(0,Plan!$E$25-(M110+N110)))+IF(R110&lt;=0,Plan!$E$26,MAX(0,Plan!$E$26-(R110+S110)))+IF(W110&lt;=0,Plan!$E$27,MAX(0,Plan!$E$27-(W110+X110)))+IF(AB110&lt;=0,Plan!$E$28,MAX(0,Plan!$E$28-(AB110+AC110))))-IF(C110&lt;=0,0,MAX(0,E110-Plan!$E$23))</f>
        <v/>
      </c>
      <c r="H110" s="42">
        <f>K109</f>
        <v/>
      </c>
      <c r="I110" s="43">
        <f>IF(H110&gt;0,H110*Plan!$D$24/100/12,0)</f>
        <v/>
      </c>
      <c r="J110" s="42">
        <f>IF(H110&lt;=0,0,MIN(H110+I110,Plan!$E$24+G110))</f>
        <v/>
      </c>
      <c r="K110" s="44">
        <f>MAX(0,H110+I110-J110)</f>
        <v/>
      </c>
      <c r="L110" s="45">
        <f>G110-IF(H110&lt;=0,0,MAX(0,J110-Plan!$E$24))</f>
        <v/>
      </c>
      <c r="M110" s="42">
        <f>P109</f>
        <v/>
      </c>
      <c r="N110" s="43">
        <f>IF(M110&gt;0,M110*Plan!$D$25/100/12,0)</f>
        <v/>
      </c>
      <c r="O110" s="42">
        <f>IF(M110&lt;=0,0,MIN(M110+N110,Plan!$E$25+L110))</f>
        <v/>
      </c>
      <c r="P110" s="44">
        <f>MAX(0,M110+N110-O110)</f>
        <v/>
      </c>
      <c r="Q110" s="45">
        <f>L110-IF(M110&lt;=0,0,MAX(0,O110-Plan!$E$25))</f>
        <v/>
      </c>
      <c r="R110" s="42">
        <f>U109</f>
        <v/>
      </c>
      <c r="S110" s="43">
        <f>IF(R110&gt;0,R110*Plan!$D$26/100/12,0)</f>
        <v/>
      </c>
      <c r="T110" s="42">
        <f>IF(R110&lt;=0,0,MIN(R110+S110,Plan!$E$26+Q110))</f>
        <v/>
      </c>
      <c r="U110" s="44">
        <f>MAX(0,R110+S110-T110)</f>
        <v/>
      </c>
      <c r="V110" s="45">
        <f>Q110-IF(R110&lt;=0,0,MAX(0,T110-Plan!$E$26))</f>
        <v/>
      </c>
      <c r="W110" s="42">
        <f>Z109</f>
        <v/>
      </c>
      <c r="X110" s="43">
        <f>IF(W110&gt;0,W110*Plan!$D$27/100/12,0)</f>
        <v/>
      </c>
      <c r="Y110" s="42">
        <f>IF(W110&lt;=0,0,MIN(W110+X110,Plan!$E$27+V110))</f>
        <v/>
      </c>
      <c r="Z110" s="44">
        <f>MAX(0,W110+X110-Y110)</f>
        <v/>
      </c>
      <c r="AA110" s="45">
        <f>V110-IF(W110&lt;=0,0,MAX(0,Y110-Plan!$E$27))</f>
        <v/>
      </c>
      <c r="AB110" s="42">
        <f>AE109</f>
        <v/>
      </c>
      <c r="AC110" s="43">
        <f>IF(AB110&gt;0,AB110*Plan!$D$28/100/12,0)</f>
        <v/>
      </c>
      <c r="AD110" s="42">
        <f>IF(AB110&lt;=0,0,MIN(AB110+AC110,Plan!$E$28+AA110))</f>
        <v/>
      </c>
      <c r="AE110" s="44">
        <f>MAX(0,AB110+AC110-AD110)</f>
        <v/>
      </c>
      <c r="AF110" s="45">
        <f>AA110-IF(AB110&lt;=0,0,MAX(0,AD110-Plan!$E$28))</f>
        <v/>
      </c>
      <c r="AG110" s="44">
        <f>F110+K110+P110+U110+Z110+AE110</f>
        <v/>
      </c>
    </row>
    <row r="111">
      <c r="A111" s="46" t="n">
        <v>104</v>
      </c>
      <c r="B111" s="47">
        <f>EDATE(Plan!$C$18,103)</f>
        <v/>
      </c>
      <c r="C111" s="48">
        <f>F110</f>
        <v/>
      </c>
      <c r="D111" s="49">
        <f>IF(C111&gt;0,C111*Plan!$D$23/100/12,0)</f>
        <v/>
      </c>
      <c r="E111" s="48">
        <f>IF(C111&lt;=0,0,MIN(C111+D111,Plan!$E$23+(Plan!$C$17+IF(C111&lt;=0,Plan!$E$23,MAX(0,Plan!$E$23-(C111+D111)))+IF(H111&lt;=0,Plan!$E$24,MAX(0,Plan!$E$24-(H111+I111)))+IF(M111&lt;=0,Plan!$E$25,MAX(0,Plan!$E$25-(M111+N111)))+IF(R111&lt;=0,Plan!$E$26,MAX(0,Plan!$E$26-(R111+S111)))+IF(W111&lt;=0,Plan!$E$27,MAX(0,Plan!$E$27-(W111+X111)))+IF(AB111&lt;=0,Plan!$E$28,MAX(0,Plan!$E$28-(AB111+AC111))))))</f>
        <v/>
      </c>
      <c r="F111" s="50">
        <f>MAX(0,C111+D111-E111)</f>
        <v/>
      </c>
      <c r="G111" s="51">
        <f>(Plan!$C$17+IF(C111&lt;=0,Plan!$E$23,MAX(0,Plan!$E$23-(C111+D111)))+IF(H111&lt;=0,Plan!$E$24,MAX(0,Plan!$E$24-(H111+I111)))+IF(M111&lt;=0,Plan!$E$25,MAX(0,Plan!$E$25-(M111+N111)))+IF(R111&lt;=0,Plan!$E$26,MAX(0,Plan!$E$26-(R111+S111)))+IF(W111&lt;=0,Plan!$E$27,MAX(0,Plan!$E$27-(W111+X111)))+IF(AB111&lt;=0,Plan!$E$28,MAX(0,Plan!$E$28-(AB111+AC111))))-IF(C111&lt;=0,0,MAX(0,E111-Plan!$E$23))</f>
        <v/>
      </c>
      <c r="H111" s="48">
        <f>K110</f>
        <v/>
      </c>
      <c r="I111" s="49">
        <f>IF(H111&gt;0,H111*Plan!$D$24/100/12,0)</f>
        <v/>
      </c>
      <c r="J111" s="48">
        <f>IF(H111&lt;=0,0,MIN(H111+I111,Plan!$E$24+G111))</f>
        <v/>
      </c>
      <c r="K111" s="50">
        <f>MAX(0,H111+I111-J111)</f>
        <v/>
      </c>
      <c r="L111" s="51">
        <f>G111-IF(H111&lt;=0,0,MAX(0,J111-Plan!$E$24))</f>
        <v/>
      </c>
      <c r="M111" s="48">
        <f>P110</f>
        <v/>
      </c>
      <c r="N111" s="49">
        <f>IF(M111&gt;0,M111*Plan!$D$25/100/12,0)</f>
        <v/>
      </c>
      <c r="O111" s="48">
        <f>IF(M111&lt;=0,0,MIN(M111+N111,Plan!$E$25+L111))</f>
        <v/>
      </c>
      <c r="P111" s="50">
        <f>MAX(0,M111+N111-O111)</f>
        <v/>
      </c>
      <c r="Q111" s="51">
        <f>L111-IF(M111&lt;=0,0,MAX(0,O111-Plan!$E$25))</f>
        <v/>
      </c>
      <c r="R111" s="48">
        <f>U110</f>
        <v/>
      </c>
      <c r="S111" s="49">
        <f>IF(R111&gt;0,R111*Plan!$D$26/100/12,0)</f>
        <v/>
      </c>
      <c r="T111" s="48">
        <f>IF(R111&lt;=0,0,MIN(R111+S111,Plan!$E$26+Q111))</f>
        <v/>
      </c>
      <c r="U111" s="50">
        <f>MAX(0,R111+S111-T111)</f>
        <v/>
      </c>
      <c r="V111" s="51">
        <f>Q111-IF(R111&lt;=0,0,MAX(0,T111-Plan!$E$26))</f>
        <v/>
      </c>
      <c r="W111" s="48">
        <f>Z110</f>
        <v/>
      </c>
      <c r="X111" s="49">
        <f>IF(W111&gt;0,W111*Plan!$D$27/100/12,0)</f>
        <v/>
      </c>
      <c r="Y111" s="48">
        <f>IF(W111&lt;=0,0,MIN(W111+X111,Plan!$E$27+V111))</f>
        <v/>
      </c>
      <c r="Z111" s="50">
        <f>MAX(0,W111+X111-Y111)</f>
        <v/>
      </c>
      <c r="AA111" s="51">
        <f>V111-IF(W111&lt;=0,0,MAX(0,Y111-Plan!$E$27))</f>
        <v/>
      </c>
      <c r="AB111" s="48">
        <f>AE110</f>
        <v/>
      </c>
      <c r="AC111" s="49">
        <f>IF(AB111&gt;0,AB111*Plan!$D$28/100/12,0)</f>
        <v/>
      </c>
      <c r="AD111" s="48">
        <f>IF(AB111&lt;=0,0,MIN(AB111+AC111,Plan!$E$28+AA111))</f>
        <v/>
      </c>
      <c r="AE111" s="50">
        <f>MAX(0,AB111+AC111-AD111)</f>
        <v/>
      </c>
      <c r="AF111" s="51">
        <f>AA111-IF(AB111&lt;=0,0,MAX(0,AD111-Plan!$E$28))</f>
        <v/>
      </c>
      <c r="AG111" s="50">
        <f>F111+K111+P111+U111+Z111+AE111</f>
        <v/>
      </c>
    </row>
    <row r="112">
      <c r="A112" s="40" t="n">
        <v>105</v>
      </c>
      <c r="B112" s="41">
        <f>EDATE(Plan!$C$18,104)</f>
        <v/>
      </c>
      <c r="C112" s="42">
        <f>F111</f>
        <v/>
      </c>
      <c r="D112" s="43">
        <f>IF(C112&gt;0,C112*Plan!$D$23/100/12,0)</f>
        <v/>
      </c>
      <c r="E112" s="42">
        <f>IF(C112&lt;=0,0,MIN(C112+D112,Plan!$E$23+(Plan!$C$17+IF(C112&lt;=0,Plan!$E$23,MAX(0,Plan!$E$23-(C112+D112)))+IF(H112&lt;=0,Plan!$E$24,MAX(0,Plan!$E$24-(H112+I112)))+IF(M112&lt;=0,Plan!$E$25,MAX(0,Plan!$E$25-(M112+N112)))+IF(R112&lt;=0,Plan!$E$26,MAX(0,Plan!$E$26-(R112+S112)))+IF(W112&lt;=0,Plan!$E$27,MAX(0,Plan!$E$27-(W112+X112)))+IF(AB112&lt;=0,Plan!$E$28,MAX(0,Plan!$E$28-(AB112+AC112))))))</f>
        <v/>
      </c>
      <c r="F112" s="44">
        <f>MAX(0,C112+D112-E112)</f>
        <v/>
      </c>
      <c r="G112" s="45">
        <f>(Plan!$C$17+IF(C112&lt;=0,Plan!$E$23,MAX(0,Plan!$E$23-(C112+D112)))+IF(H112&lt;=0,Plan!$E$24,MAX(0,Plan!$E$24-(H112+I112)))+IF(M112&lt;=0,Plan!$E$25,MAX(0,Plan!$E$25-(M112+N112)))+IF(R112&lt;=0,Plan!$E$26,MAX(0,Plan!$E$26-(R112+S112)))+IF(W112&lt;=0,Plan!$E$27,MAX(0,Plan!$E$27-(W112+X112)))+IF(AB112&lt;=0,Plan!$E$28,MAX(0,Plan!$E$28-(AB112+AC112))))-IF(C112&lt;=0,0,MAX(0,E112-Plan!$E$23))</f>
        <v/>
      </c>
      <c r="H112" s="42">
        <f>K111</f>
        <v/>
      </c>
      <c r="I112" s="43">
        <f>IF(H112&gt;0,H112*Plan!$D$24/100/12,0)</f>
        <v/>
      </c>
      <c r="J112" s="42">
        <f>IF(H112&lt;=0,0,MIN(H112+I112,Plan!$E$24+G112))</f>
        <v/>
      </c>
      <c r="K112" s="44">
        <f>MAX(0,H112+I112-J112)</f>
        <v/>
      </c>
      <c r="L112" s="45">
        <f>G112-IF(H112&lt;=0,0,MAX(0,J112-Plan!$E$24))</f>
        <v/>
      </c>
      <c r="M112" s="42">
        <f>P111</f>
        <v/>
      </c>
      <c r="N112" s="43">
        <f>IF(M112&gt;0,M112*Plan!$D$25/100/12,0)</f>
        <v/>
      </c>
      <c r="O112" s="42">
        <f>IF(M112&lt;=0,0,MIN(M112+N112,Plan!$E$25+L112))</f>
        <v/>
      </c>
      <c r="P112" s="44">
        <f>MAX(0,M112+N112-O112)</f>
        <v/>
      </c>
      <c r="Q112" s="45">
        <f>L112-IF(M112&lt;=0,0,MAX(0,O112-Plan!$E$25))</f>
        <v/>
      </c>
      <c r="R112" s="42">
        <f>U111</f>
        <v/>
      </c>
      <c r="S112" s="43">
        <f>IF(R112&gt;0,R112*Plan!$D$26/100/12,0)</f>
        <v/>
      </c>
      <c r="T112" s="42">
        <f>IF(R112&lt;=0,0,MIN(R112+S112,Plan!$E$26+Q112))</f>
        <v/>
      </c>
      <c r="U112" s="44">
        <f>MAX(0,R112+S112-T112)</f>
        <v/>
      </c>
      <c r="V112" s="45">
        <f>Q112-IF(R112&lt;=0,0,MAX(0,T112-Plan!$E$26))</f>
        <v/>
      </c>
      <c r="W112" s="42">
        <f>Z111</f>
        <v/>
      </c>
      <c r="X112" s="43">
        <f>IF(W112&gt;0,W112*Plan!$D$27/100/12,0)</f>
        <v/>
      </c>
      <c r="Y112" s="42">
        <f>IF(W112&lt;=0,0,MIN(W112+X112,Plan!$E$27+V112))</f>
        <v/>
      </c>
      <c r="Z112" s="44">
        <f>MAX(0,W112+X112-Y112)</f>
        <v/>
      </c>
      <c r="AA112" s="45">
        <f>V112-IF(W112&lt;=0,0,MAX(0,Y112-Plan!$E$27))</f>
        <v/>
      </c>
      <c r="AB112" s="42">
        <f>AE111</f>
        <v/>
      </c>
      <c r="AC112" s="43">
        <f>IF(AB112&gt;0,AB112*Plan!$D$28/100/12,0)</f>
        <v/>
      </c>
      <c r="AD112" s="42">
        <f>IF(AB112&lt;=0,0,MIN(AB112+AC112,Plan!$E$28+AA112))</f>
        <v/>
      </c>
      <c r="AE112" s="44">
        <f>MAX(0,AB112+AC112-AD112)</f>
        <v/>
      </c>
      <c r="AF112" s="45">
        <f>AA112-IF(AB112&lt;=0,0,MAX(0,AD112-Plan!$E$28))</f>
        <v/>
      </c>
      <c r="AG112" s="44">
        <f>F112+K112+P112+U112+Z112+AE112</f>
        <v/>
      </c>
    </row>
    <row r="113">
      <c r="A113" s="46" t="n">
        <v>106</v>
      </c>
      <c r="B113" s="47">
        <f>EDATE(Plan!$C$18,105)</f>
        <v/>
      </c>
      <c r="C113" s="48">
        <f>F112</f>
        <v/>
      </c>
      <c r="D113" s="49">
        <f>IF(C113&gt;0,C113*Plan!$D$23/100/12,0)</f>
        <v/>
      </c>
      <c r="E113" s="48">
        <f>IF(C113&lt;=0,0,MIN(C113+D113,Plan!$E$23+(Plan!$C$17+IF(C113&lt;=0,Plan!$E$23,MAX(0,Plan!$E$23-(C113+D113)))+IF(H113&lt;=0,Plan!$E$24,MAX(0,Plan!$E$24-(H113+I113)))+IF(M113&lt;=0,Plan!$E$25,MAX(0,Plan!$E$25-(M113+N113)))+IF(R113&lt;=0,Plan!$E$26,MAX(0,Plan!$E$26-(R113+S113)))+IF(W113&lt;=0,Plan!$E$27,MAX(0,Plan!$E$27-(W113+X113)))+IF(AB113&lt;=0,Plan!$E$28,MAX(0,Plan!$E$28-(AB113+AC113))))))</f>
        <v/>
      </c>
      <c r="F113" s="50">
        <f>MAX(0,C113+D113-E113)</f>
        <v/>
      </c>
      <c r="G113" s="51">
        <f>(Plan!$C$17+IF(C113&lt;=0,Plan!$E$23,MAX(0,Plan!$E$23-(C113+D113)))+IF(H113&lt;=0,Plan!$E$24,MAX(0,Plan!$E$24-(H113+I113)))+IF(M113&lt;=0,Plan!$E$25,MAX(0,Plan!$E$25-(M113+N113)))+IF(R113&lt;=0,Plan!$E$26,MAX(0,Plan!$E$26-(R113+S113)))+IF(W113&lt;=0,Plan!$E$27,MAX(0,Plan!$E$27-(W113+X113)))+IF(AB113&lt;=0,Plan!$E$28,MAX(0,Plan!$E$28-(AB113+AC113))))-IF(C113&lt;=0,0,MAX(0,E113-Plan!$E$23))</f>
        <v/>
      </c>
      <c r="H113" s="48">
        <f>K112</f>
        <v/>
      </c>
      <c r="I113" s="49">
        <f>IF(H113&gt;0,H113*Plan!$D$24/100/12,0)</f>
        <v/>
      </c>
      <c r="J113" s="48">
        <f>IF(H113&lt;=0,0,MIN(H113+I113,Plan!$E$24+G113))</f>
        <v/>
      </c>
      <c r="K113" s="50">
        <f>MAX(0,H113+I113-J113)</f>
        <v/>
      </c>
      <c r="L113" s="51">
        <f>G113-IF(H113&lt;=0,0,MAX(0,J113-Plan!$E$24))</f>
        <v/>
      </c>
      <c r="M113" s="48">
        <f>P112</f>
        <v/>
      </c>
      <c r="N113" s="49">
        <f>IF(M113&gt;0,M113*Plan!$D$25/100/12,0)</f>
        <v/>
      </c>
      <c r="O113" s="48">
        <f>IF(M113&lt;=0,0,MIN(M113+N113,Plan!$E$25+L113))</f>
        <v/>
      </c>
      <c r="P113" s="50">
        <f>MAX(0,M113+N113-O113)</f>
        <v/>
      </c>
      <c r="Q113" s="51">
        <f>L113-IF(M113&lt;=0,0,MAX(0,O113-Plan!$E$25))</f>
        <v/>
      </c>
      <c r="R113" s="48">
        <f>U112</f>
        <v/>
      </c>
      <c r="S113" s="49">
        <f>IF(R113&gt;0,R113*Plan!$D$26/100/12,0)</f>
        <v/>
      </c>
      <c r="T113" s="48">
        <f>IF(R113&lt;=0,0,MIN(R113+S113,Plan!$E$26+Q113))</f>
        <v/>
      </c>
      <c r="U113" s="50">
        <f>MAX(0,R113+S113-T113)</f>
        <v/>
      </c>
      <c r="V113" s="51">
        <f>Q113-IF(R113&lt;=0,0,MAX(0,T113-Plan!$E$26))</f>
        <v/>
      </c>
      <c r="W113" s="48">
        <f>Z112</f>
        <v/>
      </c>
      <c r="X113" s="49">
        <f>IF(W113&gt;0,W113*Plan!$D$27/100/12,0)</f>
        <v/>
      </c>
      <c r="Y113" s="48">
        <f>IF(W113&lt;=0,0,MIN(W113+X113,Plan!$E$27+V113))</f>
        <v/>
      </c>
      <c r="Z113" s="50">
        <f>MAX(0,W113+X113-Y113)</f>
        <v/>
      </c>
      <c r="AA113" s="51">
        <f>V113-IF(W113&lt;=0,0,MAX(0,Y113-Plan!$E$27))</f>
        <v/>
      </c>
      <c r="AB113" s="48">
        <f>AE112</f>
        <v/>
      </c>
      <c r="AC113" s="49">
        <f>IF(AB113&gt;0,AB113*Plan!$D$28/100/12,0)</f>
        <v/>
      </c>
      <c r="AD113" s="48">
        <f>IF(AB113&lt;=0,0,MIN(AB113+AC113,Plan!$E$28+AA113))</f>
        <v/>
      </c>
      <c r="AE113" s="50">
        <f>MAX(0,AB113+AC113-AD113)</f>
        <v/>
      </c>
      <c r="AF113" s="51">
        <f>AA113-IF(AB113&lt;=0,0,MAX(0,AD113-Plan!$E$28))</f>
        <v/>
      </c>
      <c r="AG113" s="50">
        <f>F113+K113+P113+U113+Z113+AE113</f>
        <v/>
      </c>
    </row>
    <row r="114">
      <c r="A114" s="40" t="n">
        <v>107</v>
      </c>
      <c r="B114" s="41">
        <f>EDATE(Plan!$C$18,106)</f>
        <v/>
      </c>
      <c r="C114" s="42">
        <f>F113</f>
        <v/>
      </c>
      <c r="D114" s="43">
        <f>IF(C114&gt;0,C114*Plan!$D$23/100/12,0)</f>
        <v/>
      </c>
      <c r="E114" s="42">
        <f>IF(C114&lt;=0,0,MIN(C114+D114,Plan!$E$23+(Plan!$C$17+IF(C114&lt;=0,Plan!$E$23,MAX(0,Plan!$E$23-(C114+D114)))+IF(H114&lt;=0,Plan!$E$24,MAX(0,Plan!$E$24-(H114+I114)))+IF(M114&lt;=0,Plan!$E$25,MAX(0,Plan!$E$25-(M114+N114)))+IF(R114&lt;=0,Plan!$E$26,MAX(0,Plan!$E$26-(R114+S114)))+IF(W114&lt;=0,Plan!$E$27,MAX(0,Plan!$E$27-(W114+X114)))+IF(AB114&lt;=0,Plan!$E$28,MAX(0,Plan!$E$28-(AB114+AC114))))))</f>
        <v/>
      </c>
      <c r="F114" s="44">
        <f>MAX(0,C114+D114-E114)</f>
        <v/>
      </c>
      <c r="G114" s="45">
        <f>(Plan!$C$17+IF(C114&lt;=0,Plan!$E$23,MAX(0,Plan!$E$23-(C114+D114)))+IF(H114&lt;=0,Plan!$E$24,MAX(0,Plan!$E$24-(H114+I114)))+IF(M114&lt;=0,Plan!$E$25,MAX(0,Plan!$E$25-(M114+N114)))+IF(R114&lt;=0,Plan!$E$26,MAX(0,Plan!$E$26-(R114+S114)))+IF(W114&lt;=0,Plan!$E$27,MAX(0,Plan!$E$27-(W114+X114)))+IF(AB114&lt;=0,Plan!$E$28,MAX(0,Plan!$E$28-(AB114+AC114))))-IF(C114&lt;=0,0,MAX(0,E114-Plan!$E$23))</f>
        <v/>
      </c>
      <c r="H114" s="42">
        <f>K113</f>
        <v/>
      </c>
      <c r="I114" s="43">
        <f>IF(H114&gt;0,H114*Plan!$D$24/100/12,0)</f>
        <v/>
      </c>
      <c r="J114" s="42">
        <f>IF(H114&lt;=0,0,MIN(H114+I114,Plan!$E$24+G114))</f>
        <v/>
      </c>
      <c r="K114" s="44">
        <f>MAX(0,H114+I114-J114)</f>
        <v/>
      </c>
      <c r="L114" s="45">
        <f>G114-IF(H114&lt;=0,0,MAX(0,J114-Plan!$E$24))</f>
        <v/>
      </c>
      <c r="M114" s="42">
        <f>P113</f>
        <v/>
      </c>
      <c r="N114" s="43">
        <f>IF(M114&gt;0,M114*Plan!$D$25/100/12,0)</f>
        <v/>
      </c>
      <c r="O114" s="42">
        <f>IF(M114&lt;=0,0,MIN(M114+N114,Plan!$E$25+L114))</f>
        <v/>
      </c>
      <c r="P114" s="44">
        <f>MAX(0,M114+N114-O114)</f>
        <v/>
      </c>
      <c r="Q114" s="45">
        <f>L114-IF(M114&lt;=0,0,MAX(0,O114-Plan!$E$25))</f>
        <v/>
      </c>
      <c r="R114" s="42">
        <f>U113</f>
        <v/>
      </c>
      <c r="S114" s="43">
        <f>IF(R114&gt;0,R114*Plan!$D$26/100/12,0)</f>
        <v/>
      </c>
      <c r="T114" s="42">
        <f>IF(R114&lt;=0,0,MIN(R114+S114,Plan!$E$26+Q114))</f>
        <v/>
      </c>
      <c r="U114" s="44">
        <f>MAX(0,R114+S114-T114)</f>
        <v/>
      </c>
      <c r="V114" s="45">
        <f>Q114-IF(R114&lt;=0,0,MAX(0,T114-Plan!$E$26))</f>
        <v/>
      </c>
      <c r="W114" s="42">
        <f>Z113</f>
        <v/>
      </c>
      <c r="X114" s="43">
        <f>IF(W114&gt;0,W114*Plan!$D$27/100/12,0)</f>
        <v/>
      </c>
      <c r="Y114" s="42">
        <f>IF(W114&lt;=0,0,MIN(W114+X114,Plan!$E$27+V114))</f>
        <v/>
      </c>
      <c r="Z114" s="44">
        <f>MAX(0,W114+X114-Y114)</f>
        <v/>
      </c>
      <c r="AA114" s="45">
        <f>V114-IF(W114&lt;=0,0,MAX(0,Y114-Plan!$E$27))</f>
        <v/>
      </c>
      <c r="AB114" s="42">
        <f>AE113</f>
        <v/>
      </c>
      <c r="AC114" s="43">
        <f>IF(AB114&gt;0,AB114*Plan!$D$28/100/12,0)</f>
        <v/>
      </c>
      <c r="AD114" s="42">
        <f>IF(AB114&lt;=0,0,MIN(AB114+AC114,Plan!$E$28+AA114))</f>
        <v/>
      </c>
      <c r="AE114" s="44">
        <f>MAX(0,AB114+AC114-AD114)</f>
        <v/>
      </c>
      <c r="AF114" s="45">
        <f>AA114-IF(AB114&lt;=0,0,MAX(0,AD114-Plan!$E$28))</f>
        <v/>
      </c>
      <c r="AG114" s="44">
        <f>F114+K114+P114+U114+Z114+AE114</f>
        <v/>
      </c>
    </row>
    <row r="115">
      <c r="A115" s="46" t="n">
        <v>108</v>
      </c>
      <c r="B115" s="47">
        <f>EDATE(Plan!$C$18,107)</f>
        <v/>
      </c>
      <c r="C115" s="48">
        <f>F114</f>
        <v/>
      </c>
      <c r="D115" s="49">
        <f>IF(C115&gt;0,C115*Plan!$D$23/100/12,0)</f>
        <v/>
      </c>
      <c r="E115" s="48">
        <f>IF(C115&lt;=0,0,MIN(C115+D115,Plan!$E$23+(Plan!$C$17+IF(C115&lt;=0,Plan!$E$23,MAX(0,Plan!$E$23-(C115+D115)))+IF(H115&lt;=0,Plan!$E$24,MAX(0,Plan!$E$24-(H115+I115)))+IF(M115&lt;=0,Plan!$E$25,MAX(0,Plan!$E$25-(M115+N115)))+IF(R115&lt;=0,Plan!$E$26,MAX(0,Plan!$E$26-(R115+S115)))+IF(W115&lt;=0,Plan!$E$27,MAX(0,Plan!$E$27-(W115+X115)))+IF(AB115&lt;=0,Plan!$E$28,MAX(0,Plan!$E$28-(AB115+AC115))))))</f>
        <v/>
      </c>
      <c r="F115" s="50">
        <f>MAX(0,C115+D115-E115)</f>
        <v/>
      </c>
      <c r="G115" s="51">
        <f>(Plan!$C$17+IF(C115&lt;=0,Plan!$E$23,MAX(0,Plan!$E$23-(C115+D115)))+IF(H115&lt;=0,Plan!$E$24,MAX(0,Plan!$E$24-(H115+I115)))+IF(M115&lt;=0,Plan!$E$25,MAX(0,Plan!$E$25-(M115+N115)))+IF(R115&lt;=0,Plan!$E$26,MAX(0,Plan!$E$26-(R115+S115)))+IF(W115&lt;=0,Plan!$E$27,MAX(0,Plan!$E$27-(W115+X115)))+IF(AB115&lt;=0,Plan!$E$28,MAX(0,Plan!$E$28-(AB115+AC115))))-IF(C115&lt;=0,0,MAX(0,E115-Plan!$E$23))</f>
        <v/>
      </c>
      <c r="H115" s="48">
        <f>K114</f>
        <v/>
      </c>
      <c r="I115" s="49">
        <f>IF(H115&gt;0,H115*Plan!$D$24/100/12,0)</f>
        <v/>
      </c>
      <c r="J115" s="48">
        <f>IF(H115&lt;=0,0,MIN(H115+I115,Plan!$E$24+G115))</f>
        <v/>
      </c>
      <c r="K115" s="50">
        <f>MAX(0,H115+I115-J115)</f>
        <v/>
      </c>
      <c r="L115" s="51">
        <f>G115-IF(H115&lt;=0,0,MAX(0,J115-Plan!$E$24))</f>
        <v/>
      </c>
      <c r="M115" s="48">
        <f>P114</f>
        <v/>
      </c>
      <c r="N115" s="49">
        <f>IF(M115&gt;0,M115*Plan!$D$25/100/12,0)</f>
        <v/>
      </c>
      <c r="O115" s="48">
        <f>IF(M115&lt;=0,0,MIN(M115+N115,Plan!$E$25+L115))</f>
        <v/>
      </c>
      <c r="P115" s="50">
        <f>MAX(0,M115+N115-O115)</f>
        <v/>
      </c>
      <c r="Q115" s="51">
        <f>L115-IF(M115&lt;=0,0,MAX(0,O115-Plan!$E$25))</f>
        <v/>
      </c>
      <c r="R115" s="48">
        <f>U114</f>
        <v/>
      </c>
      <c r="S115" s="49">
        <f>IF(R115&gt;0,R115*Plan!$D$26/100/12,0)</f>
        <v/>
      </c>
      <c r="T115" s="48">
        <f>IF(R115&lt;=0,0,MIN(R115+S115,Plan!$E$26+Q115))</f>
        <v/>
      </c>
      <c r="U115" s="50">
        <f>MAX(0,R115+S115-T115)</f>
        <v/>
      </c>
      <c r="V115" s="51">
        <f>Q115-IF(R115&lt;=0,0,MAX(0,T115-Plan!$E$26))</f>
        <v/>
      </c>
      <c r="W115" s="48">
        <f>Z114</f>
        <v/>
      </c>
      <c r="X115" s="49">
        <f>IF(W115&gt;0,W115*Plan!$D$27/100/12,0)</f>
        <v/>
      </c>
      <c r="Y115" s="48">
        <f>IF(W115&lt;=0,0,MIN(W115+X115,Plan!$E$27+V115))</f>
        <v/>
      </c>
      <c r="Z115" s="50">
        <f>MAX(0,W115+X115-Y115)</f>
        <v/>
      </c>
      <c r="AA115" s="51">
        <f>V115-IF(W115&lt;=0,0,MAX(0,Y115-Plan!$E$27))</f>
        <v/>
      </c>
      <c r="AB115" s="48">
        <f>AE114</f>
        <v/>
      </c>
      <c r="AC115" s="49">
        <f>IF(AB115&gt;0,AB115*Plan!$D$28/100/12,0)</f>
        <v/>
      </c>
      <c r="AD115" s="48">
        <f>IF(AB115&lt;=0,0,MIN(AB115+AC115,Plan!$E$28+AA115))</f>
        <v/>
      </c>
      <c r="AE115" s="50">
        <f>MAX(0,AB115+AC115-AD115)</f>
        <v/>
      </c>
      <c r="AF115" s="51">
        <f>AA115-IF(AB115&lt;=0,0,MAX(0,AD115-Plan!$E$28))</f>
        <v/>
      </c>
      <c r="AG115" s="50">
        <f>F115+K115+P115+U115+Z115+AE115</f>
        <v/>
      </c>
    </row>
    <row r="116">
      <c r="A116" s="40" t="n">
        <v>109</v>
      </c>
      <c r="B116" s="41">
        <f>EDATE(Plan!$C$18,108)</f>
        <v/>
      </c>
      <c r="C116" s="42">
        <f>F115</f>
        <v/>
      </c>
      <c r="D116" s="43">
        <f>IF(C116&gt;0,C116*Plan!$D$23/100/12,0)</f>
        <v/>
      </c>
      <c r="E116" s="42">
        <f>IF(C116&lt;=0,0,MIN(C116+D116,Plan!$E$23+(Plan!$C$17+IF(C116&lt;=0,Plan!$E$23,MAX(0,Plan!$E$23-(C116+D116)))+IF(H116&lt;=0,Plan!$E$24,MAX(0,Plan!$E$24-(H116+I116)))+IF(M116&lt;=0,Plan!$E$25,MAX(0,Plan!$E$25-(M116+N116)))+IF(R116&lt;=0,Plan!$E$26,MAX(0,Plan!$E$26-(R116+S116)))+IF(W116&lt;=0,Plan!$E$27,MAX(0,Plan!$E$27-(W116+X116)))+IF(AB116&lt;=0,Plan!$E$28,MAX(0,Plan!$E$28-(AB116+AC116))))))</f>
        <v/>
      </c>
      <c r="F116" s="44">
        <f>MAX(0,C116+D116-E116)</f>
        <v/>
      </c>
      <c r="G116" s="45">
        <f>(Plan!$C$17+IF(C116&lt;=0,Plan!$E$23,MAX(0,Plan!$E$23-(C116+D116)))+IF(H116&lt;=0,Plan!$E$24,MAX(0,Plan!$E$24-(H116+I116)))+IF(M116&lt;=0,Plan!$E$25,MAX(0,Plan!$E$25-(M116+N116)))+IF(R116&lt;=0,Plan!$E$26,MAX(0,Plan!$E$26-(R116+S116)))+IF(W116&lt;=0,Plan!$E$27,MAX(0,Plan!$E$27-(W116+X116)))+IF(AB116&lt;=0,Plan!$E$28,MAX(0,Plan!$E$28-(AB116+AC116))))-IF(C116&lt;=0,0,MAX(0,E116-Plan!$E$23))</f>
        <v/>
      </c>
      <c r="H116" s="42">
        <f>K115</f>
        <v/>
      </c>
      <c r="I116" s="43">
        <f>IF(H116&gt;0,H116*Plan!$D$24/100/12,0)</f>
        <v/>
      </c>
      <c r="J116" s="42">
        <f>IF(H116&lt;=0,0,MIN(H116+I116,Plan!$E$24+G116))</f>
        <v/>
      </c>
      <c r="K116" s="44">
        <f>MAX(0,H116+I116-J116)</f>
        <v/>
      </c>
      <c r="L116" s="45">
        <f>G116-IF(H116&lt;=0,0,MAX(0,J116-Plan!$E$24))</f>
        <v/>
      </c>
      <c r="M116" s="42">
        <f>P115</f>
        <v/>
      </c>
      <c r="N116" s="43">
        <f>IF(M116&gt;0,M116*Plan!$D$25/100/12,0)</f>
        <v/>
      </c>
      <c r="O116" s="42">
        <f>IF(M116&lt;=0,0,MIN(M116+N116,Plan!$E$25+L116))</f>
        <v/>
      </c>
      <c r="P116" s="44">
        <f>MAX(0,M116+N116-O116)</f>
        <v/>
      </c>
      <c r="Q116" s="45">
        <f>L116-IF(M116&lt;=0,0,MAX(0,O116-Plan!$E$25))</f>
        <v/>
      </c>
      <c r="R116" s="42">
        <f>U115</f>
        <v/>
      </c>
      <c r="S116" s="43">
        <f>IF(R116&gt;0,R116*Plan!$D$26/100/12,0)</f>
        <v/>
      </c>
      <c r="T116" s="42">
        <f>IF(R116&lt;=0,0,MIN(R116+S116,Plan!$E$26+Q116))</f>
        <v/>
      </c>
      <c r="U116" s="44">
        <f>MAX(0,R116+S116-T116)</f>
        <v/>
      </c>
      <c r="V116" s="45">
        <f>Q116-IF(R116&lt;=0,0,MAX(0,T116-Plan!$E$26))</f>
        <v/>
      </c>
      <c r="W116" s="42">
        <f>Z115</f>
        <v/>
      </c>
      <c r="X116" s="43">
        <f>IF(W116&gt;0,W116*Plan!$D$27/100/12,0)</f>
        <v/>
      </c>
      <c r="Y116" s="42">
        <f>IF(W116&lt;=0,0,MIN(W116+X116,Plan!$E$27+V116))</f>
        <v/>
      </c>
      <c r="Z116" s="44">
        <f>MAX(0,W116+X116-Y116)</f>
        <v/>
      </c>
      <c r="AA116" s="45">
        <f>V116-IF(W116&lt;=0,0,MAX(0,Y116-Plan!$E$27))</f>
        <v/>
      </c>
      <c r="AB116" s="42">
        <f>AE115</f>
        <v/>
      </c>
      <c r="AC116" s="43">
        <f>IF(AB116&gt;0,AB116*Plan!$D$28/100/12,0)</f>
        <v/>
      </c>
      <c r="AD116" s="42">
        <f>IF(AB116&lt;=0,0,MIN(AB116+AC116,Plan!$E$28+AA116))</f>
        <v/>
      </c>
      <c r="AE116" s="44">
        <f>MAX(0,AB116+AC116-AD116)</f>
        <v/>
      </c>
      <c r="AF116" s="45">
        <f>AA116-IF(AB116&lt;=0,0,MAX(0,AD116-Plan!$E$28))</f>
        <v/>
      </c>
      <c r="AG116" s="44">
        <f>F116+K116+P116+U116+Z116+AE116</f>
        <v/>
      </c>
    </row>
    <row r="117">
      <c r="A117" s="46" t="n">
        <v>110</v>
      </c>
      <c r="B117" s="47">
        <f>EDATE(Plan!$C$18,109)</f>
        <v/>
      </c>
      <c r="C117" s="48">
        <f>F116</f>
        <v/>
      </c>
      <c r="D117" s="49">
        <f>IF(C117&gt;0,C117*Plan!$D$23/100/12,0)</f>
        <v/>
      </c>
      <c r="E117" s="48">
        <f>IF(C117&lt;=0,0,MIN(C117+D117,Plan!$E$23+(Plan!$C$17+IF(C117&lt;=0,Plan!$E$23,MAX(0,Plan!$E$23-(C117+D117)))+IF(H117&lt;=0,Plan!$E$24,MAX(0,Plan!$E$24-(H117+I117)))+IF(M117&lt;=0,Plan!$E$25,MAX(0,Plan!$E$25-(M117+N117)))+IF(R117&lt;=0,Plan!$E$26,MAX(0,Plan!$E$26-(R117+S117)))+IF(W117&lt;=0,Plan!$E$27,MAX(0,Plan!$E$27-(W117+X117)))+IF(AB117&lt;=0,Plan!$E$28,MAX(0,Plan!$E$28-(AB117+AC117))))))</f>
        <v/>
      </c>
      <c r="F117" s="50">
        <f>MAX(0,C117+D117-E117)</f>
        <v/>
      </c>
      <c r="G117" s="51">
        <f>(Plan!$C$17+IF(C117&lt;=0,Plan!$E$23,MAX(0,Plan!$E$23-(C117+D117)))+IF(H117&lt;=0,Plan!$E$24,MAX(0,Plan!$E$24-(H117+I117)))+IF(M117&lt;=0,Plan!$E$25,MAX(0,Plan!$E$25-(M117+N117)))+IF(R117&lt;=0,Plan!$E$26,MAX(0,Plan!$E$26-(R117+S117)))+IF(W117&lt;=0,Plan!$E$27,MAX(0,Plan!$E$27-(W117+X117)))+IF(AB117&lt;=0,Plan!$E$28,MAX(0,Plan!$E$28-(AB117+AC117))))-IF(C117&lt;=0,0,MAX(0,E117-Plan!$E$23))</f>
        <v/>
      </c>
      <c r="H117" s="48">
        <f>K116</f>
        <v/>
      </c>
      <c r="I117" s="49">
        <f>IF(H117&gt;0,H117*Plan!$D$24/100/12,0)</f>
        <v/>
      </c>
      <c r="J117" s="48">
        <f>IF(H117&lt;=0,0,MIN(H117+I117,Plan!$E$24+G117))</f>
        <v/>
      </c>
      <c r="K117" s="50">
        <f>MAX(0,H117+I117-J117)</f>
        <v/>
      </c>
      <c r="L117" s="51">
        <f>G117-IF(H117&lt;=0,0,MAX(0,J117-Plan!$E$24))</f>
        <v/>
      </c>
      <c r="M117" s="48">
        <f>P116</f>
        <v/>
      </c>
      <c r="N117" s="49">
        <f>IF(M117&gt;0,M117*Plan!$D$25/100/12,0)</f>
        <v/>
      </c>
      <c r="O117" s="48">
        <f>IF(M117&lt;=0,0,MIN(M117+N117,Plan!$E$25+L117))</f>
        <v/>
      </c>
      <c r="P117" s="50">
        <f>MAX(0,M117+N117-O117)</f>
        <v/>
      </c>
      <c r="Q117" s="51">
        <f>L117-IF(M117&lt;=0,0,MAX(0,O117-Plan!$E$25))</f>
        <v/>
      </c>
      <c r="R117" s="48">
        <f>U116</f>
        <v/>
      </c>
      <c r="S117" s="49">
        <f>IF(R117&gt;0,R117*Plan!$D$26/100/12,0)</f>
        <v/>
      </c>
      <c r="T117" s="48">
        <f>IF(R117&lt;=0,0,MIN(R117+S117,Plan!$E$26+Q117))</f>
        <v/>
      </c>
      <c r="U117" s="50">
        <f>MAX(0,R117+S117-T117)</f>
        <v/>
      </c>
      <c r="V117" s="51">
        <f>Q117-IF(R117&lt;=0,0,MAX(0,T117-Plan!$E$26))</f>
        <v/>
      </c>
      <c r="W117" s="48">
        <f>Z116</f>
        <v/>
      </c>
      <c r="X117" s="49">
        <f>IF(W117&gt;0,W117*Plan!$D$27/100/12,0)</f>
        <v/>
      </c>
      <c r="Y117" s="48">
        <f>IF(W117&lt;=0,0,MIN(W117+X117,Plan!$E$27+V117))</f>
        <v/>
      </c>
      <c r="Z117" s="50">
        <f>MAX(0,W117+X117-Y117)</f>
        <v/>
      </c>
      <c r="AA117" s="51">
        <f>V117-IF(W117&lt;=0,0,MAX(0,Y117-Plan!$E$27))</f>
        <v/>
      </c>
      <c r="AB117" s="48">
        <f>AE116</f>
        <v/>
      </c>
      <c r="AC117" s="49">
        <f>IF(AB117&gt;0,AB117*Plan!$D$28/100/12,0)</f>
        <v/>
      </c>
      <c r="AD117" s="48">
        <f>IF(AB117&lt;=0,0,MIN(AB117+AC117,Plan!$E$28+AA117))</f>
        <v/>
      </c>
      <c r="AE117" s="50">
        <f>MAX(0,AB117+AC117-AD117)</f>
        <v/>
      </c>
      <c r="AF117" s="51">
        <f>AA117-IF(AB117&lt;=0,0,MAX(0,AD117-Plan!$E$28))</f>
        <v/>
      </c>
      <c r="AG117" s="50">
        <f>F117+K117+P117+U117+Z117+AE117</f>
        <v/>
      </c>
    </row>
    <row r="118">
      <c r="A118" s="40" t="n">
        <v>111</v>
      </c>
      <c r="B118" s="41">
        <f>EDATE(Plan!$C$18,110)</f>
        <v/>
      </c>
      <c r="C118" s="42">
        <f>F117</f>
        <v/>
      </c>
      <c r="D118" s="43">
        <f>IF(C118&gt;0,C118*Plan!$D$23/100/12,0)</f>
        <v/>
      </c>
      <c r="E118" s="42">
        <f>IF(C118&lt;=0,0,MIN(C118+D118,Plan!$E$23+(Plan!$C$17+IF(C118&lt;=0,Plan!$E$23,MAX(0,Plan!$E$23-(C118+D118)))+IF(H118&lt;=0,Plan!$E$24,MAX(0,Plan!$E$24-(H118+I118)))+IF(M118&lt;=0,Plan!$E$25,MAX(0,Plan!$E$25-(M118+N118)))+IF(R118&lt;=0,Plan!$E$26,MAX(0,Plan!$E$26-(R118+S118)))+IF(W118&lt;=0,Plan!$E$27,MAX(0,Plan!$E$27-(W118+X118)))+IF(AB118&lt;=0,Plan!$E$28,MAX(0,Plan!$E$28-(AB118+AC118))))))</f>
        <v/>
      </c>
      <c r="F118" s="44">
        <f>MAX(0,C118+D118-E118)</f>
        <v/>
      </c>
      <c r="G118" s="45">
        <f>(Plan!$C$17+IF(C118&lt;=0,Plan!$E$23,MAX(0,Plan!$E$23-(C118+D118)))+IF(H118&lt;=0,Plan!$E$24,MAX(0,Plan!$E$24-(H118+I118)))+IF(M118&lt;=0,Plan!$E$25,MAX(0,Plan!$E$25-(M118+N118)))+IF(R118&lt;=0,Plan!$E$26,MAX(0,Plan!$E$26-(R118+S118)))+IF(W118&lt;=0,Plan!$E$27,MAX(0,Plan!$E$27-(W118+X118)))+IF(AB118&lt;=0,Plan!$E$28,MAX(0,Plan!$E$28-(AB118+AC118))))-IF(C118&lt;=0,0,MAX(0,E118-Plan!$E$23))</f>
        <v/>
      </c>
      <c r="H118" s="42">
        <f>K117</f>
        <v/>
      </c>
      <c r="I118" s="43">
        <f>IF(H118&gt;0,H118*Plan!$D$24/100/12,0)</f>
        <v/>
      </c>
      <c r="J118" s="42">
        <f>IF(H118&lt;=0,0,MIN(H118+I118,Plan!$E$24+G118))</f>
        <v/>
      </c>
      <c r="K118" s="44">
        <f>MAX(0,H118+I118-J118)</f>
        <v/>
      </c>
      <c r="L118" s="45">
        <f>G118-IF(H118&lt;=0,0,MAX(0,J118-Plan!$E$24))</f>
        <v/>
      </c>
      <c r="M118" s="42">
        <f>P117</f>
        <v/>
      </c>
      <c r="N118" s="43">
        <f>IF(M118&gt;0,M118*Plan!$D$25/100/12,0)</f>
        <v/>
      </c>
      <c r="O118" s="42">
        <f>IF(M118&lt;=0,0,MIN(M118+N118,Plan!$E$25+L118))</f>
        <v/>
      </c>
      <c r="P118" s="44">
        <f>MAX(0,M118+N118-O118)</f>
        <v/>
      </c>
      <c r="Q118" s="45">
        <f>L118-IF(M118&lt;=0,0,MAX(0,O118-Plan!$E$25))</f>
        <v/>
      </c>
      <c r="R118" s="42">
        <f>U117</f>
        <v/>
      </c>
      <c r="S118" s="43">
        <f>IF(R118&gt;0,R118*Plan!$D$26/100/12,0)</f>
        <v/>
      </c>
      <c r="T118" s="42">
        <f>IF(R118&lt;=0,0,MIN(R118+S118,Plan!$E$26+Q118))</f>
        <v/>
      </c>
      <c r="U118" s="44">
        <f>MAX(0,R118+S118-T118)</f>
        <v/>
      </c>
      <c r="V118" s="45">
        <f>Q118-IF(R118&lt;=0,0,MAX(0,T118-Plan!$E$26))</f>
        <v/>
      </c>
      <c r="W118" s="42">
        <f>Z117</f>
        <v/>
      </c>
      <c r="X118" s="43">
        <f>IF(W118&gt;0,W118*Plan!$D$27/100/12,0)</f>
        <v/>
      </c>
      <c r="Y118" s="42">
        <f>IF(W118&lt;=0,0,MIN(W118+X118,Plan!$E$27+V118))</f>
        <v/>
      </c>
      <c r="Z118" s="44">
        <f>MAX(0,W118+X118-Y118)</f>
        <v/>
      </c>
      <c r="AA118" s="45">
        <f>V118-IF(W118&lt;=0,0,MAX(0,Y118-Plan!$E$27))</f>
        <v/>
      </c>
      <c r="AB118" s="42">
        <f>AE117</f>
        <v/>
      </c>
      <c r="AC118" s="43">
        <f>IF(AB118&gt;0,AB118*Plan!$D$28/100/12,0)</f>
        <v/>
      </c>
      <c r="AD118" s="42">
        <f>IF(AB118&lt;=0,0,MIN(AB118+AC118,Plan!$E$28+AA118))</f>
        <v/>
      </c>
      <c r="AE118" s="44">
        <f>MAX(0,AB118+AC118-AD118)</f>
        <v/>
      </c>
      <c r="AF118" s="45">
        <f>AA118-IF(AB118&lt;=0,0,MAX(0,AD118-Plan!$E$28))</f>
        <v/>
      </c>
      <c r="AG118" s="44">
        <f>F118+K118+P118+U118+Z118+AE118</f>
        <v/>
      </c>
    </row>
    <row r="119">
      <c r="A119" s="46" t="n">
        <v>112</v>
      </c>
      <c r="B119" s="47">
        <f>EDATE(Plan!$C$18,111)</f>
        <v/>
      </c>
      <c r="C119" s="48">
        <f>F118</f>
        <v/>
      </c>
      <c r="D119" s="49">
        <f>IF(C119&gt;0,C119*Plan!$D$23/100/12,0)</f>
        <v/>
      </c>
      <c r="E119" s="48">
        <f>IF(C119&lt;=0,0,MIN(C119+D119,Plan!$E$23+(Plan!$C$17+IF(C119&lt;=0,Plan!$E$23,MAX(0,Plan!$E$23-(C119+D119)))+IF(H119&lt;=0,Plan!$E$24,MAX(0,Plan!$E$24-(H119+I119)))+IF(M119&lt;=0,Plan!$E$25,MAX(0,Plan!$E$25-(M119+N119)))+IF(R119&lt;=0,Plan!$E$26,MAX(0,Plan!$E$26-(R119+S119)))+IF(W119&lt;=0,Plan!$E$27,MAX(0,Plan!$E$27-(W119+X119)))+IF(AB119&lt;=0,Plan!$E$28,MAX(0,Plan!$E$28-(AB119+AC119))))))</f>
        <v/>
      </c>
      <c r="F119" s="50">
        <f>MAX(0,C119+D119-E119)</f>
        <v/>
      </c>
      <c r="G119" s="51">
        <f>(Plan!$C$17+IF(C119&lt;=0,Plan!$E$23,MAX(0,Plan!$E$23-(C119+D119)))+IF(H119&lt;=0,Plan!$E$24,MAX(0,Plan!$E$24-(H119+I119)))+IF(M119&lt;=0,Plan!$E$25,MAX(0,Plan!$E$25-(M119+N119)))+IF(R119&lt;=0,Plan!$E$26,MAX(0,Plan!$E$26-(R119+S119)))+IF(W119&lt;=0,Plan!$E$27,MAX(0,Plan!$E$27-(W119+X119)))+IF(AB119&lt;=0,Plan!$E$28,MAX(0,Plan!$E$28-(AB119+AC119))))-IF(C119&lt;=0,0,MAX(0,E119-Plan!$E$23))</f>
        <v/>
      </c>
      <c r="H119" s="48">
        <f>K118</f>
        <v/>
      </c>
      <c r="I119" s="49">
        <f>IF(H119&gt;0,H119*Plan!$D$24/100/12,0)</f>
        <v/>
      </c>
      <c r="J119" s="48">
        <f>IF(H119&lt;=0,0,MIN(H119+I119,Plan!$E$24+G119))</f>
        <v/>
      </c>
      <c r="K119" s="50">
        <f>MAX(0,H119+I119-J119)</f>
        <v/>
      </c>
      <c r="L119" s="51">
        <f>G119-IF(H119&lt;=0,0,MAX(0,J119-Plan!$E$24))</f>
        <v/>
      </c>
      <c r="M119" s="48">
        <f>P118</f>
        <v/>
      </c>
      <c r="N119" s="49">
        <f>IF(M119&gt;0,M119*Plan!$D$25/100/12,0)</f>
        <v/>
      </c>
      <c r="O119" s="48">
        <f>IF(M119&lt;=0,0,MIN(M119+N119,Plan!$E$25+L119))</f>
        <v/>
      </c>
      <c r="P119" s="50">
        <f>MAX(0,M119+N119-O119)</f>
        <v/>
      </c>
      <c r="Q119" s="51">
        <f>L119-IF(M119&lt;=0,0,MAX(0,O119-Plan!$E$25))</f>
        <v/>
      </c>
      <c r="R119" s="48">
        <f>U118</f>
        <v/>
      </c>
      <c r="S119" s="49">
        <f>IF(R119&gt;0,R119*Plan!$D$26/100/12,0)</f>
        <v/>
      </c>
      <c r="T119" s="48">
        <f>IF(R119&lt;=0,0,MIN(R119+S119,Plan!$E$26+Q119))</f>
        <v/>
      </c>
      <c r="U119" s="50">
        <f>MAX(0,R119+S119-T119)</f>
        <v/>
      </c>
      <c r="V119" s="51">
        <f>Q119-IF(R119&lt;=0,0,MAX(0,T119-Plan!$E$26))</f>
        <v/>
      </c>
      <c r="W119" s="48">
        <f>Z118</f>
        <v/>
      </c>
      <c r="X119" s="49">
        <f>IF(W119&gt;0,W119*Plan!$D$27/100/12,0)</f>
        <v/>
      </c>
      <c r="Y119" s="48">
        <f>IF(W119&lt;=0,0,MIN(W119+X119,Plan!$E$27+V119))</f>
        <v/>
      </c>
      <c r="Z119" s="50">
        <f>MAX(0,W119+X119-Y119)</f>
        <v/>
      </c>
      <c r="AA119" s="51">
        <f>V119-IF(W119&lt;=0,0,MAX(0,Y119-Plan!$E$27))</f>
        <v/>
      </c>
      <c r="AB119" s="48">
        <f>AE118</f>
        <v/>
      </c>
      <c r="AC119" s="49">
        <f>IF(AB119&gt;0,AB119*Plan!$D$28/100/12,0)</f>
        <v/>
      </c>
      <c r="AD119" s="48">
        <f>IF(AB119&lt;=0,0,MIN(AB119+AC119,Plan!$E$28+AA119))</f>
        <v/>
      </c>
      <c r="AE119" s="50">
        <f>MAX(0,AB119+AC119-AD119)</f>
        <v/>
      </c>
      <c r="AF119" s="51">
        <f>AA119-IF(AB119&lt;=0,0,MAX(0,AD119-Plan!$E$28))</f>
        <v/>
      </c>
      <c r="AG119" s="50">
        <f>F119+K119+P119+U119+Z119+AE119</f>
        <v/>
      </c>
    </row>
    <row r="120">
      <c r="A120" s="40" t="n">
        <v>113</v>
      </c>
      <c r="B120" s="41">
        <f>EDATE(Plan!$C$18,112)</f>
        <v/>
      </c>
      <c r="C120" s="42">
        <f>F119</f>
        <v/>
      </c>
      <c r="D120" s="43">
        <f>IF(C120&gt;0,C120*Plan!$D$23/100/12,0)</f>
        <v/>
      </c>
      <c r="E120" s="42">
        <f>IF(C120&lt;=0,0,MIN(C120+D120,Plan!$E$23+(Plan!$C$17+IF(C120&lt;=0,Plan!$E$23,MAX(0,Plan!$E$23-(C120+D120)))+IF(H120&lt;=0,Plan!$E$24,MAX(0,Plan!$E$24-(H120+I120)))+IF(M120&lt;=0,Plan!$E$25,MAX(0,Plan!$E$25-(M120+N120)))+IF(R120&lt;=0,Plan!$E$26,MAX(0,Plan!$E$26-(R120+S120)))+IF(W120&lt;=0,Plan!$E$27,MAX(0,Plan!$E$27-(W120+X120)))+IF(AB120&lt;=0,Plan!$E$28,MAX(0,Plan!$E$28-(AB120+AC120))))))</f>
        <v/>
      </c>
      <c r="F120" s="44">
        <f>MAX(0,C120+D120-E120)</f>
        <v/>
      </c>
      <c r="G120" s="45">
        <f>(Plan!$C$17+IF(C120&lt;=0,Plan!$E$23,MAX(0,Plan!$E$23-(C120+D120)))+IF(H120&lt;=0,Plan!$E$24,MAX(0,Plan!$E$24-(H120+I120)))+IF(M120&lt;=0,Plan!$E$25,MAX(0,Plan!$E$25-(M120+N120)))+IF(R120&lt;=0,Plan!$E$26,MAX(0,Plan!$E$26-(R120+S120)))+IF(W120&lt;=0,Plan!$E$27,MAX(0,Plan!$E$27-(W120+X120)))+IF(AB120&lt;=0,Plan!$E$28,MAX(0,Plan!$E$28-(AB120+AC120))))-IF(C120&lt;=0,0,MAX(0,E120-Plan!$E$23))</f>
        <v/>
      </c>
      <c r="H120" s="42">
        <f>K119</f>
        <v/>
      </c>
      <c r="I120" s="43">
        <f>IF(H120&gt;0,H120*Plan!$D$24/100/12,0)</f>
        <v/>
      </c>
      <c r="J120" s="42">
        <f>IF(H120&lt;=0,0,MIN(H120+I120,Plan!$E$24+G120))</f>
        <v/>
      </c>
      <c r="K120" s="44">
        <f>MAX(0,H120+I120-J120)</f>
        <v/>
      </c>
      <c r="L120" s="45">
        <f>G120-IF(H120&lt;=0,0,MAX(0,J120-Plan!$E$24))</f>
        <v/>
      </c>
      <c r="M120" s="42">
        <f>P119</f>
        <v/>
      </c>
      <c r="N120" s="43">
        <f>IF(M120&gt;0,M120*Plan!$D$25/100/12,0)</f>
        <v/>
      </c>
      <c r="O120" s="42">
        <f>IF(M120&lt;=0,0,MIN(M120+N120,Plan!$E$25+L120))</f>
        <v/>
      </c>
      <c r="P120" s="44">
        <f>MAX(0,M120+N120-O120)</f>
        <v/>
      </c>
      <c r="Q120" s="45">
        <f>L120-IF(M120&lt;=0,0,MAX(0,O120-Plan!$E$25))</f>
        <v/>
      </c>
      <c r="R120" s="42">
        <f>U119</f>
        <v/>
      </c>
      <c r="S120" s="43">
        <f>IF(R120&gt;0,R120*Plan!$D$26/100/12,0)</f>
        <v/>
      </c>
      <c r="T120" s="42">
        <f>IF(R120&lt;=0,0,MIN(R120+S120,Plan!$E$26+Q120))</f>
        <v/>
      </c>
      <c r="U120" s="44">
        <f>MAX(0,R120+S120-T120)</f>
        <v/>
      </c>
      <c r="V120" s="45">
        <f>Q120-IF(R120&lt;=0,0,MAX(0,T120-Plan!$E$26))</f>
        <v/>
      </c>
      <c r="W120" s="42">
        <f>Z119</f>
        <v/>
      </c>
      <c r="X120" s="43">
        <f>IF(W120&gt;0,W120*Plan!$D$27/100/12,0)</f>
        <v/>
      </c>
      <c r="Y120" s="42">
        <f>IF(W120&lt;=0,0,MIN(W120+X120,Plan!$E$27+V120))</f>
        <v/>
      </c>
      <c r="Z120" s="44">
        <f>MAX(0,W120+X120-Y120)</f>
        <v/>
      </c>
      <c r="AA120" s="45">
        <f>V120-IF(W120&lt;=0,0,MAX(0,Y120-Plan!$E$27))</f>
        <v/>
      </c>
      <c r="AB120" s="42">
        <f>AE119</f>
        <v/>
      </c>
      <c r="AC120" s="43">
        <f>IF(AB120&gt;0,AB120*Plan!$D$28/100/12,0)</f>
        <v/>
      </c>
      <c r="AD120" s="42">
        <f>IF(AB120&lt;=0,0,MIN(AB120+AC120,Plan!$E$28+AA120))</f>
        <v/>
      </c>
      <c r="AE120" s="44">
        <f>MAX(0,AB120+AC120-AD120)</f>
        <v/>
      </c>
      <c r="AF120" s="45">
        <f>AA120-IF(AB120&lt;=0,0,MAX(0,AD120-Plan!$E$28))</f>
        <v/>
      </c>
      <c r="AG120" s="44">
        <f>F120+K120+P120+U120+Z120+AE120</f>
        <v/>
      </c>
    </row>
    <row r="121">
      <c r="A121" s="46" t="n">
        <v>114</v>
      </c>
      <c r="B121" s="47">
        <f>EDATE(Plan!$C$18,113)</f>
        <v/>
      </c>
      <c r="C121" s="48">
        <f>F120</f>
        <v/>
      </c>
      <c r="D121" s="49">
        <f>IF(C121&gt;0,C121*Plan!$D$23/100/12,0)</f>
        <v/>
      </c>
      <c r="E121" s="48">
        <f>IF(C121&lt;=0,0,MIN(C121+D121,Plan!$E$23+(Plan!$C$17+IF(C121&lt;=0,Plan!$E$23,MAX(0,Plan!$E$23-(C121+D121)))+IF(H121&lt;=0,Plan!$E$24,MAX(0,Plan!$E$24-(H121+I121)))+IF(M121&lt;=0,Plan!$E$25,MAX(0,Plan!$E$25-(M121+N121)))+IF(R121&lt;=0,Plan!$E$26,MAX(0,Plan!$E$26-(R121+S121)))+IF(W121&lt;=0,Plan!$E$27,MAX(0,Plan!$E$27-(W121+X121)))+IF(AB121&lt;=0,Plan!$E$28,MAX(0,Plan!$E$28-(AB121+AC121))))))</f>
        <v/>
      </c>
      <c r="F121" s="50">
        <f>MAX(0,C121+D121-E121)</f>
        <v/>
      </c>
      <c r="G121" s="51">
        <f>(Plan!$C$17+IF(C121&lt;=0,Plan!$E$23,MAX(0,Plan!$E$23-(C121+D121)))+IF(H121&lt;=0,Plan!$E$24,MAX(0,Plan!$E$24-(H121+I121)))+IF(M121&lt;=0,Plan!$E$25,MAX(0,Plan!$E$25-(M121+N121)))+IF(R121&lt;=0,Plan!$E$26,MAX(0,Plan!$E$26-(R121+S121)))+IF(W121&lt;=0,Plan!$E$27,MAX(0,Plan!$E$27-(W121+X121)))+IF(AB121&lt;=0,Plan!$E$28,MAX(0,Plan!$E$28-(AB121+AC121))))-IF(C121&lt;=0,0,MAX(0,E121-Plan!$E$23))</f>
        <v/>
      </c>
      <c r="H121" s="48">
        <f>K120</f>
        <v/>
      </c>
      <c r="I121" s="49">
        <f>IF(H121&gt;0,H121*Plan!$D$24/100/12,0)</f>
        <v/>
      </c>
      <c r="J121" s="48">
        <f>IF(H121&lt;=0,0,MIN(H121+I121,Plan!$E$24+G121))</f>
        <v/>
      </c>
      <c r="K121" s="50">
        <f>MAX(0,H121+I121-J121)</f>
        <v/>
      </c>
      <c r="L121" s="51">
        <f>G121-IF(H121&lt;=0,0,MAX(0,J121-Plan!$E$24))</f>
        <v/>
      </c>
      <c r="M121" s="48">
        <f>P120</f>
        <v/>
      </c>
      <c r="N121" s="49">
        <f>IF(M121&gt;0,M121*Plan!$D$25/100/12,0)</f>
        <v/>
      </c>
      <c r="O121" s="48">
        <f>IF(M121&lt;=0,0,MIN(M121+N121,Plan!$E$25+L121))</f>
        <v/>
      </c>
      <c r="P121" s="50">
        <f>MAX(0,M121+N121-O121)</f>
        <v/>
      </c>
      <c r="Q121" s="51">
        <f>L121-IF(M121&lt;=0,0,MAX(0,O121-Plan!$E$25))</f>
        <v/>
      </c>
      <c r="R121" s="48">
        <f>U120</f>
        <v/>
      </c>
      <c r="S121" s="49">
        <f>IF(R121&gt;0,R121*Plan!$D$26/100/12,0)</f>
        <v/>
      </c>
      <c r="T121" s="48">
        <f>IF(R121&lt;=0,0,MIN(R121+S121,Plan!$E$26+Q121))</f>
        <v/>
      </c>
      <c r="U121" s="50">
        <f>MAX(0,R121+S121-T121)</f>
        <v/>
      </c>
      <c r="V121" s="51">
        <f>Q121-IF(R121&lt;=0,0,MAX(0,T121-Plan!$E$26))</f>
        <v/>
      </c>
      <c r="W121" s="48">
        <f>Z120</f>
        <v/>
      </c>
      <c r="X121" s="49">
        <f>IF(W121&gt;0,W121*Plan!$D$27/100/12,0)</f>
        <v/>
      </c>
      <c r="Y121" s="48">
        <f>IF(W121&lt;=0,0,MIN(W121+X121,Plan!$E$27+V121))</f>
        <v/>
      </c>
      <c r="Z121" s="50">
        <f>MAX(0,W121+X121-Y121)</f>
        <v/>
      </c>
      <c r="AA121" s="51">
        <f>V121-IF(W121&lt;=0,0,MAX(0,Y121-Plan!$E$27))</f>
        <v/>
      </c>
      <c r="AB121" s="48">
        <f>AE120</f>
        <v/>
      </c>
      <c r="AC121" s="49">
        <f>IF(AB121&gt;0,AB121*Plan!$D$28/100/12,0)</f>
        <v/>
      </c>
      <c r="AD121" s="48">
        <f>IF(AB121&lt;=0,0,MIN(AB121+AC121,Plan!$E$28+AA121))</f>
        <v/>
      </c>
      <c r="AE121" s="50">
        <f>MAX(0,AB121+AC121-AD121)</f>
        <v/>
      </c>
      <c r="AF121" s="51">
        <f>AA121-IF(AB121&lt;=0,0,MAX(0,AD121-Plan!$E$28))</f>
        <v/>
      </c>
      <c r="AG121" s="50">
        <f>F121+K121+P121+U121+Z121+AE121</f>
        <v/>
      </c>
    </row>
    <row r="122">
      <c r="A122" s="40" t="n">
        <v>115</v>
      </c>
      <c r="B122" s="41">
        <f>EDATE(Plan!$C$18,114)</f>
        <v/>
      </c>
      <c r="C122" s="42">
        <f>F121</f>
        <v/>
      </c>
      <c r="D122" s="43">
        <f>IF(C122&gt;0,C122*Plan!$D$23/100/12,0)</f>
        <v/>
      </c>
      <c r="E122" s="42">
        <f>IF(C122&lt;=0,0,MIN(C122+D122,Plan!$E$23+(Plan!$C$17+IF(C122&lt;=0,Plan!$E$23,MAX(0,Plan!$E$23-(C122+D122)))+IF(H122&lt;=0,Plan!$E$24,MAX(0,Plan!$E$24-(H122+I122)))+IF(M122&lt;=0,Plan!$E$25,MAX(0,Plan!$E$25-(M122+N122)))+IF(R122&lt;=0,Plan!$E$26,MAX(0,Plan!$E$26-(R122+S122)))+IF(W122&lt;=0,Plan!$E$27,MAX(0,Plan!$E$27-(W122+X122)))+IF(AB122&lt;=0,Plan!$E$28,MAX(0,Plan!$E$28-(AB122+AC122))))))</f>
        <v/>
      </c>
      <c r="F122" s="44">
        <f>MAX(0,C122+D122-E122)</f>
        <v/>
      </c>
      <c r="G122" s="45">
        <f>(Plan!$C$17+IF(C122&lt;=0,Plan!$E$23,MAX(0,Plan!$E$23-(C122+D122)))+IF(H122&lt;=0,Plan!$E$24,MAX(0,Plan!$E$24-(H122+I122)))+IF(M122&lt;=0,Plan!$E$25,MAX(0,Plan!$E$25-(M122+N122)))+IF(R122&lt;=0,Plan!$E$26,MAX(0,Plan!$E$26-(R122+S122)))+IF(W122&lt;=0,Plan!$E$27,MAX(0,Plan!$E$27-(W122+X122)))+IF(AB122&lt;=0,Plan!$E$28,MAX(0,Plan!$E$28-(AB122+AC122))))-IF(C122&lt;=0,0,MAX(0,E122-Plan!$E$23))</f>
        <v/>
      </c>
      <c r="H122" s="42">
        <f>K121</f>
        <v/>
      </c>
      <c r="I122" s="43">
        <f>IF(H122&gt;0,H122*Plan!$D$24/100/12,0)</f>
        <v/>
      </c>
      <c r="J122" s="42">
        <f>IF(H122&lt;=0,0,MIN(H122+I122,Plan!$E$24+G122))</f>
        <v/>
      </c>
      <c r="K122" s="44">
        <f>MAX(0,H122+I122-J122)</f>
        <v/>
      </c>
      <c r="L122" s="45">
        <f>G122-IF(H122&lt;=0,0,MAX(0,J122-Plan!$E$24))</f>
        <v/>
      </c>
      <c r="M122" s="42">
        <f>P121</f>
        <v/>
      </c>
      <c r="N122" s="43">
        <f>IF(M122&gt;0,M122*Plan!$D$25/100/12,0)</f>
        <v/>
      </c>
      <c r="O122" s="42">
        <f>IF(M122&lt;=0,0,MIN(M122+N122,Plan!$E$25+L122))</f>
        <v/>
      </c>
      <c r="P122" s="44">
        <f>MAX(0,M122+N122-O122)</f>
        <v/>
      </c>
      <c r="Q122" s="45">
        <f>L122-IF(M122&lt;=0,0,MAX(0,O122-Plan!$E$25))</f>
        <v/>
      </c>
      <c r="R122" s="42">
        <f>U121</f>
        <v/>
      </c>
      <c r="S122" s="43">
        <f>IF(R122&gt;0,R122*Plan!$D$26/100/12,0)</f>
        <v/>
      </c>
      <c r="T122" s="42">
        <f>IF(R122&lt;=0,0,MIN(R122+S122,Plan!$E$26+Q122))</f>
        <v/>
      </c>
      <c r="U122" s="44">
        <f>MAX(0,R122+S122-T122)</f>
        <v/>
      </c>
      <c r="V122" s="45">
        <f>Q122-IF(R122&lt;=0,0,MAX(0,T122-Plan!$E$26))</f>
        <v/>
      </c>
      <c r="W122" s="42">
        <f>Z121</f>
        <v/>
      </c>
      <c r="X122" s="43">
        <f>IF(W122&gt;0,W122*Plan!$D$27/100/12,0)</f>
        <v/>
      </c>
      <c r="Y122" s="42">
        <f>IF(W122&lt;=0,0,MIN(W122+X122,Plan!$E$27+V122))</f>
        <v/>
      </c>
      <c r="Z122" s="44">
        <f>MAX(0,W122+X122-Y122)</f>
        <v/>
      </c>
      <c r="AA122" s="45">
        <f>V122-IF(W122&lt;=0,0,MAX(0,Y122-Plan!$E$27))</f>
        <v/>
      </c>
      <c r="AB122" s="42">
        <f>AE121</f>
        <v/>
      </c>
      <c r="AC122" s="43">
        <f>IF(AB122&gt;0,AB122*Plan!$D$28/100/12,0)</f>
        <v/>
      </c>
      <c r="AD122" s="42">
        <f>IF(AB122&lt;=0,0,MIN(AB122+AC122,Plan!$E$28+AA122))</f>
        <v/>
      </c>
      <c r="AE122" s="44">
        <f>MAX(0,AB122+AC122-AD122)</f>
        <v/>
      </c>
      <c r="AF122" s="45">
        <f>AA122-IF(AB122&lt;=0,0,MAX(0,AD122-Plan!$E$28))</f>
        <v/>
      </c>
      <c r="AG122" s="44">
        <f>F122+K122+P122+U122+Z122+AE122</f>
        <v/>
      </c>
    </row>
    <row r="123">
      <c r="A123" s="46" t="n">
        <v>116</v>
      </c>
      <c r="B123" s="47">
        <f>EDATE(Plan!$C$18,115)</f>
        <v/>
      </c>
      <c r="C123" s="48">
        <f>F122</f>
        <v/>
      </c>
      <c r="D123" s="49">
        <f>IF(C123&gt;0,C123*Plan!$D$23/100/12,0)</f>
        <v/>
      </c>
      <c r="E123" s="48">
        <f>IF(C123&lt;=0,0,MIN(C123+D123,Plan!$E$23+(Plan!$C$17+IF(C123&lt;=0,Plan!$E$23,MAX(0,Plan!$E$23-(C123+D123)))+IF(H123&lt;=0,Plan!$E$24,MAX(0,Plan!$E$24-(H123+I123)))+IF(M123&lt;=0,Plan!$E$25,MAX(0,Plan!$E$25-(M123+N123)))+IF(R123&lt;=0,Plan!$E$26,MAX(0,Plan!$E$26-(R123+S123)))+IF(W123&lt;=0,Plan!$E$27,MAX(0,Plan!$E$27-(W123+X123)))+IF(AB123&lt;=0,Plan!$E$28,MAX(0,Plan!$E$28-(AB123+AC123))))))</f>
        <v/>
      </c>
      <c r="F123" s="50">
        <f>MAX(0,C123+D123-E123)</f>
        <v/>
      </c>
      <c r="G123" s="51">
        <f>(Plan!$C$17+IF(C123&lt;=0,Plan!$E$23,MAX(0,Plan!$E$23-(C123+D123)))+IF(H123&lt;=0,Plan!$E$24,MAX(0,Plan!$E$24-(H123+I123)))+IF(M123&lt;=0,Plan!$E$25,MAX(0,Plan!$E$25-(M123+N123)))+IF(R123&lt;=0,Plan!$E$26,MAX(0,Plan!$E$26-(R123+S123)))+IF(W123&lt;=0,Plan!$E$27,MAX(0,Plan!$E$27-(W123+X123)))+IF(AB123&lt;=0,Plan!$E$28,MAX(0,Plan!$E$28-(AB123+AC123))))-IF(C123&lt;=0,0,MAX(0,E123-Plan!$E$23))</f>
        <v/>
      </c>
      <c r="H123" s="48">
        <f>K122</f>
        <v/>
      </c>
      <c r="I123" s="49">
        <f>IF(H123&gt;0,H123*Plan!$D$24/100/12,0)</f>
        <v/>
      </c>
      <c r="J123" s="48">
        <f>IF(H123&lt;=0,0,MIN(H123+I123,Plan!$E$24+G123))</f>
        <v/>
      </c>
      <c r="K123" s="50">
        <f>MAX(0,H123+I123-J123)</f>
        <v/>
      </c>
      <c r="L123" s="51">
        <f>G123-IF(H123&lt;=0,0,MAX(0,J123-Plan!$E$24))</f>
        <v/>
      </c>
      <c r="M123" s="48">
        <f>P122</f>
        <v/>
      </c>
      <c r="N123" s="49">
        <f>IF(M123&gt;0,M123*Plan!$D$25/100/12,0)</f>
        <v/>
      </c>
      <c r="O123" s="48">
        <f>IF(M123&lt;=0,0,MIN(M123+N123,Plan!$E$25+L123))</f>
        <v/>
      </c>
      <c r="P123" s="50">
        <f>MAX(0,M123+N123-O123)</f>
        <v/>
      </c>
      <c r="Q123" s="51">
        <f>L123-IF(M123&lt;=0,0,MAX(0,O123-Plan!$E$25))</f>
        <v/>
      </c>
      <c r="R123" s="48">
        <f>U122</f>
        <v/>
      </c>
      <c r="S123" s="49">
        <f>IF(R123&gt;0,R123*Plan!$D$26/100/12,0)</f>
        <v/>
      </c>
      <c r="T123" s="48">
        <f>IF(R123&lt;=0,0,MIN(R123+S123,Plan!$E$26+Q123))</f>
        <v/>
      </c>
      <c r="U123" s="50">
        <f>MAX(0,R123+S123-T123)</f>
        <v/>
      </c>
      <c r="V123" s="51">
        <f>Q123-IF(R123&lt;=0,0,MAX(0,T123-Plan!$E$26))</f>
        <v/>
      </c>
      <c r="W123" s="48">
        <f>Z122</f>
        <v/>
      </c>
      <c r="X123" s="49">
        <f>IF(W123&gt;0,W123*Plan!$D$27/100/12,0)</f>
        <v/>
      </c>
      <c r="Y123" s="48">
        <f>IF(W123&lt;=0,0,MIN(W123+X123,Plan!$E$27+V123))</f>
        <v/>
      </c>
      <c r="Z123" s="50">
        <f>MAX(0,W123+X123-Y123)</f>
        <v/>
      </c>
      <c r="AA123" s="51">
        <f>V123-IF(W123&lt;=0,0,MAX(0,Y123-Plan!$E$27))</f>
        <v/>
      </c>
      <c r="AB123" s="48">
        <f>AE122</f>
        <v/>
      </c>
      <c r="AC123" s="49">
        <f>IF(AB123&gt;0,AB123*Plan!$D$28/100/12,0)</f>
        <v/>
      </c>
      <c r="AD123" s="48">
        <f>IF(AB123&lt;=0,0,MIN(AB123+AC123,Plan!$E$28+AA123))</f>
        <v/>
      </c>
      <c r="AE123" s="50">
        <f>MAX(0,AB123+AC123-AD123)</f>
        <v/>
      </c>
      <c r="AF123" s="51">
        <f>AA123-IF(AB123&lt;=0,0,MAX(0,AD123-Plan!$E$28))</f>
        <v/>
      </c>
      <c r="AG123" s="50">
        <f>F123+K123+P123+U123+Z123+AE123</f>
        <v/>
      </c>
    </row>
    <row r="124">
      <c r="A124" s="40" t="n">
        <v>117</v>
      </c>
      <c r="B124" s="41">
        <f>EDATE(Plan!$C$18,116)</f>
        <v/>
      </c>
      <c r="C124" s="42">
        <f>F123</f>
        <v/>
      </c>
      <c r="D124" s="43">
        <f>IF(C124&gt;0,C124*Plan!$D$23/100/12,0)</f>
        <v/>
      </c>
      <c r="E124" s="42">
        <f>IF(C124&lt;=0,0,MIN(C124+D124,Plan!$E$23+(Plan!$C$17+IF(C124&lt;=0,Plan!$E$23,MAX(0,Plan!$E$23-(C124+D124)))+IF(H124&lt;=0,Plan!$E$24,MAX(0,Plan!$E$24-(H124+I124)))+IF(M124&lt;=0,Plan!$E$25,MAX(0,Plan!$E$25-(M124+N124)))+IF(R124&lt;=0,Plan!$E$26,MAX(0,Plan!$E$26-(R124+S124)))+IF(W124&lt;=0,Plan!$E$27,MAX(0,Plan!$E$27-(W124+X124)))+IF(AB124&lt;=0,Plan!$E$28,MAX(0,Plan!$E$28-(AB124+AC124))))))</f>
        <v/>
      </c>
      <c r="F124" s="44">
        <f>MAX(0,C124+D124-E124)</f>
        <v/>
      </c>
      <c r="G124" s="45">
        <f>(Plan!$C$17+IF(C124&lt;=0,Plan!$E$23,MAX(0,Plan!$E$23-(C124+D124)))+IF(H124&lt;=0,Plan!$E$24,MAX(0,Plan!$E$24-(H124+I124)))+IF(M124&lt;=0,Plan!$E$25,MAX(0,Plan!$E$25-(M124+N124)))+IF(R124&lt;=0,Plan!$E$26,MAX(0,Plan!$E$26-(R124+S124)))+IF(W124&lt;=0,Plan!$E$27,MAX(0,Plan!$E$27-(W124+X124)))+IF(AB124&lt;=0,Plan!$E$28,MAX(0,Plan!$E$28-(AB124+AC124))))-IF(C124&lt;=0,0,MAX(0,E124-Plan!$E$23))</f>
        <v/>
      </c>
      <c r="H124" s="42">
        <f>K123</f>
        <v/>
      </c>
      <c r="I124" s="43">
        <f>IF(H124&gt;0,H124*Plan!$D$24/100/12,0)</f>
        <v/>
      </c>
      <c r="J124" s="42">
        <f>IF(H124&lt;=0,0,MIN(H124+I124,Plan!$E$24+G124))</f>
        <v/>
      </c>
      <c r="K124" s="44">
        <f>MAX(0,H124+I124-J124)</f>
        <v/>
      </c>
      <c r="L124" s="45">
        <f>G124-IF(H124&lt;=0,0,MAX(0,J124-Plan!$E$24))</f>
        <v/>
      </c>
      <c r="M124" s="42">
        <f>P123</f>
        <v/>
      </c>
      <c r="N124" s="43">
        <f>IF(M124&gt;0,M124*Plan!$D$25/100/12,0)</f>
        <v/>
      </c>
      <c r="O124" s="42">
        <f>IF(M124&lt;=0,0,MIN(M124+N124,Plan!$E$25+L124))</f>
        <v/>
      </c>
      <c r="P124" s="44">
        <f>MAX(0,M124+N124-O124)</f>
        <v/>
      </c>
      <c r="Q124" s="45">
        <f>L124-IF(M124&lt;=0,0,MAX(0,O124-Plan!$E$25))</f>
        <v/>
      </c>
      <c r="R124" s="42">
        <f>U123</f>
        <v/>
      </c>
      <c r="S124" s="43">
        <f>IF(R124&gt;0,R124*Plan!$D$26/100/12,0)</f>
        <v/>
      </c>
      <c r="T124" s="42">
        <f>IF(R124&lt;=0,0,MIN(R124+S124,Plan!$E$26+Q124))</f>
        <v/>
      </c>
      <c r="U124" s="44">
        <f>MAX(0,R124+S124-T124)</f>
        <v/>
      </c>
      <c r="V124" s="45">
        <f>Q124-IF(R124&lt;=0,0,MAX(0,T124-Plan!$E$26))</f>
        <v/>
      </c>
      <c r="W124" s="42">
        <f>Z123</f>
        <v/>
      </c>
      <c r="X124" s="43">
        <f>IF(W124&gt;0,W124*Plan!$D$27/100/12,0)</f>
        <v/>
      </c>
      <c r="Y124" s="42">
        <f>IF(W124&lt;=0,0,MIN(W124+X124,Plan!$E$27+V124))</f>
        <v/>
      </c>
      <c r="Z124" s="44">
        <f>MAX(0,W124+X124-Y124)</f>
        <v/>
      </c>
      <c r="AA124" s="45">
        <f>V124-IF(W124&lt;=0,0,MAX(0,Y124-Plan!$E$27))</f>
        <v/>
      </c>
      <c r="AB124" s="42">
        <f>AE123</f>
        <v/>
      </c>
      <c r="AC124" s="43">
        <f>IF(AB124&gt;0,AB124*Plan!$D$28/100/12,0)</f>
        <v/>
      </c>
      <c r="AD124" s="42">
        <f>IF(AB124&lt;=0,0,MIN(AB124+AC124,Plan!$E$28+AA124))</f>
        <v/>
      </c>
      <c r="AE124" s="44">
        <f>MAX(0,AB124+AC124-AD124)</f>
        <v/>
      </c>
      <c r="AF124" s="45">
        <f>AA124-IF(AB124&lt;=0,0,MAX(0,AD124-Plan!$E$28))</f>
        <v/>
      </c>
      <c r="AG124" s="44">
        <f>F124+K124+P124+U124+Z124+AE124</f>
        <v/>
      </c>
    </row>
    <row r="125">
      <c r="A125" s="46" t="n">
        <v>118</v>
      </c>
      <c r="B125" s="47">
        <f>EDATE(Plan!$C$18,117)</f>
        <v/>
      </c>
      <c r="C125" s="48">
        <f>F124</f>
        <v/>
      </c>
      <c r="D125" s="49">
        <f>IF(C125&gt;0,C125*Plan!$D$23/100/12,0)</f>
        <v/>
      </c>
      <c r="E125" s="48">
        <f>IF(C125&lt;=0,0,MIN(C125+D125,Plan!$E$23+(Plan!$C$17+IF(C125&lt;=0,Plan!$E$23,MAX(0,Plan!$E$23-(C125+D125)))+IF(H125&lt;=0,Plan!$E$24,MAX(0,Plan!$E$24-(H125+I125)))+IF(M125&lt;=0,Plan!$E$25,MAX(0,Plan!$E$25-(M125+N125)))+IF(R125&lt;=0,Plan!$E$26,MAX(0,Plan!$E$26-(R125+S125)))+IF(W125&lt;=0,Plan!$E$27,MAX(0,Plan!$E$27-(W125+X125)))+IF(AB125&lt;=0,Plan!$E$28,MAX(0,Plan!$E$28-(AB125+AC125))))))</f>
        <v/>
      </c>
      <c r="F125" s="50">
        <f>MAX(0,C125+D125-E125)</f>
        <v/>
      </c>
      <c r="G125" s="51">
        <f>(Plan!$C$17+IF(C125&lt;=0,Plan!$E$23,MAX(0,Plan!$E$23-(C125+D125)))+IF(H125&lt;=0,Plan!$E$24,MAX(0,Plan!$E$24-(H125+I125)))+IF(M125&lt;=0,Plan!$E$25,MAX(0,Plan!$E$25-(M125+N125)))+IF(R125&lt;=0,Plan!$E$26,MAX(0,Plan!$E$26-(R125+S125)))+IF(W125&lt;=0,Plan!$E$27,MAX(0,Plan!$E$27-(W125+X125)))+IF(AB125&lt;=0,Plan!$E$28,MAX(0,Plan!$E$28-(AB125+AC125))))-IF(C125&lt;=0,0,MAX(0,E125-Plan!$E$23))</f>
        <v/>
      </c>
      <c r="H125" s="48">
        <f>K124</f>
        <v/>
      </c>
      <c r="I125" s="49">
        <f>IF(H125&gt;0,H125*Plan!$D$24/100/12,0)</f>
        <v/>
      </c>
      <c r="J125" s="48">
        <f>IF(H125&lt;=0,0,MIN(H125+I125,Plan!$E$24+G125))</f>
        <v/>
      </c>
      <c r="K125" s="50">
        <f>MAX(0,H125+I125-J125)</f>
        <v/>
      </c>
      <c r="L125" s="51">
        <f>G125-IF(H125&lt;=0,0,MAX(0,J125-Plan!$E$24))</f>
        <v/>
      </c>
      <c r="M125" s="48">
        <f>P124</f>
        <v/>
      </c>
      <c r="N125" s="49">
        <f>IF(M125&gt;0,M125*Plan!$D$25/100/12,0)</f>
        <v/>
      </c>
      <c r="O125" s="48">
        <f>IF(M125&lt;=0,0,MIN(M125+N125,Plan!$E$25+L125))</f>
        <v/>
      </c>
      <c r="P125" s="50">
        <f>MAX(0,M125+N125-O125)</f>
        <v/>
      </c>
      <c r="Q125" s="51">
        <f>L125-IF(M125&lt;=0,0,MAX(0,O125-Plan!$E$25))</f>
        <v/>
      </c>
      <c r="R125" s="48">
        <f>U124</f>
        <v/>
      </c>
      <c r="S125" s="49">
        <f>IF(R125&gt;0,R125*Plan!$D$26/100/12,0)</f>
        <v/>
      </c>
      <c r="T125" s="48">
        <f>IF(R125&lt;=0,0,MIN(R125+S125,Plan!$E$26+Q125))</f>
        <v/>
      </c>
      <c r="U125" s="50">
        <f>MAX(0,R125+S125-T125)</f>
        <v/>
      </c>
      <c r="V125" s="51">
        <f>Q125-IF(R125&lt;=0,0,MAX(0,T125-Plan!$E$26))</f>
        <v/>
      </c>
      <c r="W125" s="48">
        <f>Z124</f>
        <v/>
      </c>
      <c r="X125" s="49">
        <f>IF(W125&gt;0,W125*Plan!$D$27/100/12,0)</f>
        <v/>
      </c>
      <c r="Y125" s="48">
        <f>IF(W125&lt;=0,0,MIN(W125+X125,Plan!$E$27+V125))</f>
        <v/>
      </c>
      <c r="Z125" s="50">
        <f>MAX(0,W125+X125-Y125)</f>
        <v/>
      </c>
      <c r="AA125" s="51">
        <f>V125-IF(W125&lt;=0,0,MAX(0,Y125-Plan!$E$27))</f>
        <v/>
      </c>
      <c r="AB125" s="48">
        <f>AE124</f>
        <v/>
      </c>
      <c r="AC125" s="49">
        <f>IF(AB125&gt;0,AB125*Plan!$D$28/100/12,0)</f>
        <v/>
      </c>
      <c r="AD125" s="48">
        <f>IF(AB125&lt;=0,0,MIN(AB125+AC125,Plan!$E$28+AA125))</f>
        <v/>
      </c>
      <c r="AE125" s="50">
        <f>MAX(0,AB125+AC125-AD125)</f>
        <v/>
      </c>
      <c r="AF125" s="51">
        <f>AA125-IF(AB125&lt;=0,0,MAX(0,AD125-Plan!$E$28))</f>
        <v/>
      </c>
      <c r="AG125" s="50">
        <f>F125+K125+P125+U125+Z125+AE125</f>
        <v/>
      </c>
    </row>
    <row r="126">
      <c r="A126" s="40" t="n">
        <v>119</v>
      </c>
      <c r="B126" s="41">
        <f>EDATE(Plan!$C$18,118)</f>
        <v/>
      </c>
      <c r="C126" s="42">
        <f>F125</f>
        <v/>
      </c>
      <c r="D126" s="43">
        <f>IF(C126&gt;0,C126*Plan!$D$23/100/12,0)</f>
        <v/>
      </c>
      <c r="E126" s="42">
        <f>IF(C126&lt;=0,0,MIN(C126+D126,Plan!$E$23+(Plan!$C$17+IF(C126&lt;=0,Plan!$E$23,MAX(0,Plan!$E$23-(C126+D126)))+IF(H126&lt;=0,Plan!$E$24,MAX(0,Plan!$E$24-(H126+I126)))+IF(M126&lt;=0,Plan!$E$25,MAX(0,Plan!$E$25-(M126+N126)))+IF(R126&lt;=0,Plan!$E$26,MAX(0,Plan!$E$26-(R126+S126)))+IF(W126&lt;=0,Plan!$E$27,MAX(0,Plan!$E$27-(W126+X126)))+IF(AB126&lt;=0,Plan!$E$28,MAX(0,Plan!$E$28-(AB126+AC126))))))</f>
        <v/>
      </c>
      <c r="F126" s="44">
        <f>MAX(0,C126+D126-E126)</f>
        <v/>
      </c>
      <c r="G126" s="45">
        <f>(Plan!$C$17+IF(C126&lt;=0,Plan!$E$23,MAX(0,Plan!$E$23-(C126+D126)))+IF(H126&lt;=0,Plan!$E$24,MAX(0,Plan!$E$24-(H126+I126)))+IF(M126&lt;=0,Plan!$E$25,MAX(0,Plan!$E$25-(M126+N126)))+IF(R126&lt;=0,Plan!$E$26,MAX(0,Plan!$E$26-(R126+S126)))+IF(W126&lt;=0,Plan!$E$27,MAX(0,Plan!$E$27-(W126+X126)))+IF(AB126&lt;=0,Plan!$E$28,MAX(0,Plan!$E$28-(AB126+AC126))))-IF(C126&lt;=0,0,MAX(0,E126-Plan!$E$23))</f>
        <v/>
      </c>
      <c r="H126" s="42">
        <f>K125</f>
        <v/>
      </c>
      <c r="I126" s="43">
        <f>IF(H126&gt;0,H126*Plan!$D$24/100/12,0)</f>
        <v/>
      </c>
      <c r="J126" s="42">
        <f>IF(H126&lt;=0,0,MIN(H126+I126,Plan!$E$24+G126))</f>
        <v/>
      </c>
      <c r="K126" s="44">
        <f>MAX(0,H126+I126-J126)</f>
        <v/>
      </c>
      <c r="L126" s="45">
        <f>G126-IF(H126&lt;=0,0,MAX(0,J126-Plan!$E$24))</f>
        <v/>
      </c>
      <c r="M126" s="42">
        <f>P125</f>
        <v/>
      </c>
      <c r="N126" s="43">
        <f>IF(M126&gt;0,M126*Plan!$D$25/100/12,0)</f>
        <v/>
      </c>
      <c r="O126" s="42">
        <f>IF(M126&lt;=0,0,MIN(M126+N126,Plan!$E$25+L126))</f>
        <v/>
      </c>
      <c r="P126" s="44">
        <f>MAX(0,M126+N126-O126)</f>
        <v/>
      </c>
      <c r="Q126" s="45">
        <f>L126-IF(M126&lt;=0,0,MAX(0,O126-Plan!$E$25))</f>
        <v/>
      </c>
      <c r="R126" s="42">
        <f>U125</f>
        <v/>
      </c>
      <c r="S126" s="43">
        <f>IF(R126&gt;0,R126*Plan!$D$26/100/12,0)</f>
        <v/>
      </c>
      <c r="T126" s="42">
        <f>IF(R126&lt;=0,0,MIN(R126+S126,Plan!$E$26+Q126))</f>
        <v/>
      </c>
      <c r="U126" s="44">
        <f>MAX(0,R126+S126-T126)</f>
        <v/>
      </c>
      <c r="V126" s="45">
        <f>Q126-IF(R126&lt;=0,0,MAX(0,T126-Plan!$E$26))</f>
        <v/>
      </c>
      <c r="W126" s="42">
        <f>Z125</f>
        <v/>
      </c>
      <c r="X126" s="43">
        <f>IF(W126&gt;0,W126*Plan!$D$27/100/12,0)</f>
        <v/>
      </c>
      <c r="Y126" s="42">
        <f>IF(W126&lt;=0,0,MIN(W126+X126,Plan!$E$27+V126))</f>
        <v/>
      </c>
      <c r="Z126" s="44">
        <f>MAX(0,W126+X126-Y126)</f>
        <v/>
      </c>
      <c r="AA126" s="45">
        <f>V126-IF(W126&lt;=0,0,MAX(0,Y126-Plan!$E$27))</f>
        <v/>
      </c>
      <c r="AB126" s="42">
        <f>AE125</f>
        <v/>
      </c>
      <c r="AC126" s="43">
        <f>IF(AB126&gt;0,AB126*Plan!$D$28/100/12,0)</f>
        <v/>
      </c>
      <c r="AD126" s="42">
        <f>IF(AB126&lt;=0,0,MIN(AB126+AC126,Plan!$E$28+AA126))</f>
        <v/>
      </c>
      <c r="AE126" s="44">
        <f>MAX(0,AB126+AC126-AD126)</f>
        <v/>
      </c>
      <c r="AF126" s="45">
        <f>AA126-IF(AB126&lt;=0,0,MAX(0,AD126-Plan!$E$28))</f>
        <v/>
      </c>
      <c r="AG126" s="44">
        <f>F126+K126+P126+U126+Z126+AE126</f>
        <v/>
      </c>
    </row>
    <row r="127">
      <c r="A127" s="46" t="n">
        <v>120</v>
      </c>
      <c r="B127" s="47">
        <f>EDATE(Plan!$C$18,119)</f>
        <v/>
      </c>
      <c r="C127" s="48">
        <f>F126</f>
        <v/>
      </c>
      <c r="D127" s="49">
        <f>IF(C127&gt;0,C127*Plan!$D$23/100/12,0)</f>
        <v/>
      </c>
      <c r="E127" s="48">
        <f>IF(C127&lt;=0,0,MIN(C127+D127,Plan!$E$23+(Plan!$C$17+IF(C127&lt;=0,Plan!$E$23,MAX(0,Plan!$E$23-(C127+D127)))+IF(H127&lt;=0,Plan!$E$24,MAX(0,Plan!$E$24-(H127+I127)))+IF(M127&lt;=0,Plan!$E$25,MAX(0,Plan!$E$25-(M127+N127)))+IF(R127&lt;=0,Plan!$E$26,MAX(0,Plan!$E$26-(R127+S127)))+IF(W127&lt;=0,Plan!$E$27,MAX(0,Plan!$E$27-(W127+X127)))+IF(AB127&lt;=0,Plan!$E$28,MAX(0,Plan!$E$28-(AB127+AC127))))))</f>
        <v/>
      </c>
      <c r="F127" s="50">
        <f>MAX(0,C127+D127-E127)</f>
        <v/>
      </c>
      <c r="G127" s="51">
        <f>(Plan!$C$17+IF(C127&lt;=0,Plan!$E$23,MAX(0,Plan!$E$23-(C127+D127)))+IF(H127&lt;=0,Plan!$E$24,MAX(0,Plan!$E$24-(H127+I127)))+IF(M127&lt;=0,Plan!$E$25,MAX(0,Plan!$E$25-(M127+N127)))+IF(R127&lt;=0,Plan!$E$26,MAX(0,Plan!$E$26-(R127+S127)))+IF(W127&lt;=0,Plan!$E$27,MAX(0,Plan!$E$27-(W127+X127)))+IF(AB127&lt;=0,Plan!$E$28,MAX(0,Plan!$E$28-(AB127+AC127))))-IF(C127&lt;=0,0,MAX(0,E127-Plan!$E$23))</f>
        <v/>
      </c>
      <c r="H127" s="48">
        <f>K126</f>
        <v/>
      </c>
      <c r="I127" s="49">
        <f>IF(H127&gt;0,H127*Plan!$D$24/100/12,0)</f>
        <v/>
      </c>
      <c r="J127" s="48">
        <f>IF(H127&lt;=0,0,MIN(H127+I127,Plan!$E$24+G127))</f>
        <v/>
      </c>
      <c r="K127" s="50">
        <f>MAX(0,H127+I127-J127)</f>
        <v/>
      </c>
      <c r="L127" s="51">
        <f>G127-IF(H127&lt;=0,0,MAX(0,J127-Plan!$E$24))</f>
        <v/>
      </c>
      <c r="M127" s="48">
        <f>P126</f>
        <v/>
      </c>
      <c r="N127" s="49">
        <f>IF(M127&gt;0,M127*Plan!$D$25/100/12,0)</f>
        <v/>
      </c>
      <c r="O127" s="48">
        <f>IF(M127&lt;=0,0,MIN(M127+N127,Plan!$E$25+L127))</f>
        <v/>
      </c>
      <c r="P127" s="50">
        <f>MAX(0,M127+N127-O127)</f>
        <v/>
      </c>
      <c r="Q127" s="51">
        <f>L127-IF(M127&lt;=0,0,MAX(0,O127-Plan!$E$25))</f>
        <v/>
      </c>
      <c r="R127" s="48">
        <f>U126</f>
        <v/>
      </c>
      <c r="S127" s="49">
        <f>IF(R127&gt;0,R127*Plan!$D$26/100/12,0)</f>
        <v/>
      </c>
      <c r="T127" s="48">
        <f>IF(R127&lt;=0,0,MIN(R127+S127,Plan!$E$26+Q127))</f>
        <v/>
      </c>
      <c r="U127" s="50">
        <f>MAX(0,R127+S127-T127)</f>
        <v/>
      </c>
      <c r="V127" s="51">
        <f>Q127-IF(R127&lt;=0,0,MAX(0,T127-Plan!$E$26))</f>
        <v/>
      </c>
      <c r="W127" s="48">
        <f>Z126</f>
        <v/>
      </c>
      <c r="X127" s="49">
        <f>IF(W127&gt;0,W127*Plan!$D$27/100/12,0)</f>
        <v/>
      </c>
      <c r="Y127" s="48">
        <f>IF(W127&lt;=0,0,MIN(W127+X127,Plan!$E$27+V127))</f>
        <v/>
      </c>
      <c r="Z127" s="50">
        <f>MAX(0,W127+X127-Y127)</f>
        <v/>
      </c>
      <c r="AA127" s="51">
        <f>V127-IF(W127&lt;=0,0,MAX(0,Y127-Plan!$E$27))</f>
        <v/>
      </c>
      <c r="AB127" s="48">
        <f>AE126</f>
        <v/>
      </c>
      <c r="AC127" s="49">
        <f>IF(AB127&gt;0,AB127*Plan!$D$28/100/12,0)</f>
        <v/>
      </c>
      <c r="AD127" s="48">
        <f>IF(AB127&lt;=0,0,MIN(AB127+AC127,Plan!$E$28+AA127))</f>
        <v/>
      </c>
      <c r="AE127" s="50">
        <f>MAX(0,AB127+AC127-AD127)</f>
        <v/>
      </c>
      <c r="AF127" s="51">
        <f>AA127-IF(AB127&lt;=0,0,MAX(0,AD127-Plan!$E$28))</f>
        <v/>
      </c>
      <c r="AG127" s="50">
        <f>F127+K127+P127+U127+Z127+AE127</f>
        <v/>
      </c>
    </row>
    <row r="128">
      <c r="A128" s="40" t="n">
        <v>121</v>
      </c>
      <c r="B128" s="41">
        <f>EDATE(Plan!$C$18,120)</f>
        <v/>
      </c>
      <c r="C128" s="42">
        <f>F127</f>
        <v/>
      </c>
      <c r="D128" s="43">
        <f>IF(C128&gt;0,C128*Plan!$D$23/100/12,0)</f>
        <v/>
      </c>
      <c r="E128" s="42">
        <f>IF(C128&lt;=0,0,MIN(C128+D128,Plan!$E$23+(Plan!$C$17+IF(C128&lt;=0,Plan!$E$23,MAX(0,Plan!$E$23-(C128+D128)))+IF(H128&lt;=0,Plan!$E$24,MAX(0,Plan!$E$24-(H128+I128)))+IF(M128&lt;=0,Plan!$E$25,MAX(0,Plan!$E$25-(M128+N128)))+IF(R128&lt;=0,Plan!$E$26,MAX(0,Plan!$E$26-(R128+S128)))+IF(W128&lt;=0,Plan!$E$27,MAX(0,Plan!$E$27-(W128+X128)))+IF(AB128&lt;=0,Plan!$E$28,MAX(0,Plan!$E$28-(AB128+AC128))))))</f>
        <v/>
      </c>
      <c r="F128" s="44">
        <f>MAX(0,C128+D128-E128)</f>
        <v/>
      </c>
      <c r="G128" s="45">
        <f>(Plan!$C$17+IF(C128&lt;=0,Plan!$E$23,MAX(0,Plan!$E$23-(C128+D128)))+IF(H128&lt;=0,Plan!$E$24,MAX(0,Plan!$E$24-(H128+I128)))+IF(M128&lt;=0,Plan!$E$25,MAX(0,Plan!$E$25-(M128+N128)))+IF(R128&lt;=0,Plan!$E$26,MAX(0,Plan!$E$26-(R128+S128)))+IF(W128&lt;=0,Plan!$E$27,MAX(0,Plan!$E$27-(W128+X128)))+IF(AB128&lt;=0,Plan!$E$28,MAX(0,Plan!$E$28-(AB128+AC128))))-IF(C128&lt;=0,0,MAX(0,E128-Plan!$E$23))</f>
        <v/>
      </c>
      <c r="H128" s="42">
        <f>K127</f>
        <v/>
      </c>
      <c r="I128" s="43">
        <f>IF(H128&gt;0,H128*Plan!$D$24/100/12,0)</f>
        <v/>
      </c>
      <c r="J128" s="42">
        <f>IF(H128&lt;=0,0,MIN(H128+I128,Plan!$E$24+G128))</f>
        <v/>
      </c>
      <c r="K128" s="44">
        <f>MAX(0,H128+I128-J128)</f>
        <v/>
      </c>
      <c r="L128" s="45">
        <f>G128-IF(H128&lt;=0,0,MAX(0,J128-Plan!$E$24))</f>
        <v/>
      </c>
      <c r="M128" s="42">
        <f>P127</f>
        <v/>
      </c>
      <c r="N128" s="43">
        <f>IF(M128&gt;0,M128*Plan!$D$25/100/12,0)</f>
        <v/>
      </c>
      <c r="O128" s="42">
        <f>IF(M128&lt;=0,0,MIN(M128+N128,Plan!$E$25+L128))</f>
        <v/>
      </c>
      <c r="P128" s="44">
        <f>MAX(0,M128+N128-O128)</f>
        <v/>
      </c>
      <c r="Q128" s="45">
        <f>L128-IF(M128&lt;=0,0,MAX(0,O128-Plan!$E$25))</f>
        <v/>
      </c>
      <c r="R128" s="42">
        <f>U127</f>
        <v/>
      </c>
      <c r="S128" s="43">
        <f>IF(R128&gt;0,R128*Plan!$D$26/100/12,0)</f>
        <v/>
      </c>
      <c r="T128" s="42">
        <f>IF(R128&lt;=0,0,MIN(R128+S128,Plan!$E$26+Q128))</f>
        <v/>
      </c>
      <c r="U128" s="44">
        <f>MAX(0,R128+S128-T128)</f>
        <v/>
      </c>
      <c r="V128" s="45">
        <f>Q128-IF(R128&lt;=0,0,MAX(0,T128-Plan!$E$26))</f>
        <v/>
      </c>
      <c r="W128" s="42">
        <f>Z127</f>
        <v/>
      </c>
      <c r="X128" s="43">
        <f>IF(W128&gt;0,W128*Plan!$D$27/100/12,0)</f>
        <v/>
      </c>
      <c r="Y128" s="42">
        <f>IF(W128&lt;=0,0,MIN(W128+X128,Plan!$E$27+V128))</f>
        <v/>
      </c>
      <c r="Z128" s="44">
        <f>MAX(0,W128+X128-Y128)</f>
        <v/>
      </c>
      <c r="AA128" s="45">
        <f>V128-IF(W128&lt;=0,0,MAX(0,Y128-Plan!$E$27))</f>
        <v/>
      </c>
      <c r="AB128" s="42">
        <f>AE127</f>
        <v/>
      </c>
      <c r="AC128" s="43">
        <f>IF(AB128&gt;0,AB128*Plan!$D$28/100/12,0)</f>
        <v/>
      </c>
      <c r="AD128" s="42">
        <f>IF(AB128&lt;=0,0,MIN(AB128+AC128,Plan!$E$28+AA128))</f>
        <v/>
      </c>
      <c r="AE128" s="44">
        <f>MAX(0,AB128+AC128-AD128)</f>
        <v/>
      </c>
      <c r="AF128" s="45">
        <f>AA128-IF(AB128&lt;=0,0,MAX(0,AD128-Plan!$E$28))</f>
        <v/>
      </c>
      <c r="AG128" s="44">
        <f>F128+K128+P128+U128+Z128+AE128</f>
        <v/>
      </c>
    </row>
    <row r="129">
      <c r="A129" s="46" t="n">
        <v>122</v>
      </c>
      <c r="B129" s="47">
        <f>EDATE(Plan!$C$18,121)</f>
        <v/>
      </c>
      <c r="C129" s="48">
        <f>F128</f>
        <v/>
      </c>
      <c r="D129" s="49">
        <f>IF(C129&gt;0,C129*Plan!$D$23/100/12,0)</f>
        <v/>
      </c>
      <c r="E129" s="48">
        <f>IF(C129&lt;=0,0,MIN(C129+D129,Plan!$E$23+(Plan!$C$17+IF(C129&lt;=0,Plan!$E$23,MAX(0,Plan!$E$23-(C129+D129)))+IF(H129&lt;=0,Plan!$E$24,MAX(0,Plan!$E$24-(H129+I129)))+IF(M129&lt;=0,Plan!$E$25,MAX(0,Plan!$E$25-(M129+N129)))+IF(R129&lt;=0,Plan!$E$26,MAX(0,Plan!$E$26-(R129+S129)))+IF(W129&lt;=0,Plan!$E$27,MAX(0,Plan!$E$27-(W129+X129)))+IF(AB129&lt;=0,Plan!$E$28,MAX(0,Plan!$E$28-(AB129+AC129))))))</f>
        <v/>
      </c>
      <c r="F129" s="50">
        <f>MAX(0,C129+D129-E129)</f>
        <v/>
      </c>
      <c r="G129" s="51">
        <f>(Plan!$C$17+IF(C129&lt;=0,Plan!$E$23,MAX(0,Plan!$E$23-(C129+D129)))+IF(H129&lt;=0,Plan!$E$24,MAX(0,Plan!$E$24-(H129+I129)))+IF(M129&lt;=0,Plan!$E$25,MAX(0,Plan!$E$25-(M129+N129)))+IF(R129&lt;=0,Plan!$E$26,MAX(0,Plan!$E$26-(R129+S129)))+IF(W129&lt;=0,Plan!$E$27,MAX(0,Plan!$E$27-(W129+X129)))+IF(AB129&lt;=0,Plan!$E$28,MAX(0,Plan!$E$28-(AB129+AC129))))-IF(C129&lt;=0,0,MAX(0,E129-Plan!$E$23))</f>
        <v/>
      </c>
      <c r="H129" s="48">
        <f>K128</f>
        <v/>
      </c>
      <c r="I129" s="49">
        <f>IF(H129&gt;0,H129*Plan!$D$24/100/12,0)</f>
        <v/>
      </c>
      <c r="J129" s="48">
        <f>IF(H129&lt;=0,0,MIN(H129+I129,Plan!$E$24+G129))</f>
        <v/>
      </c>
      <c r="K129" s="50">
        <f>MAX(0,H129+I129-J129)</f>
        <v/>
      </c>
      <c r="L129" s="51">
        <f>G129-IF(H129&lt;=0,0,MAX(0,J129-Plan!$E$24))</f>
        <v/>
      </c>
      <c r="M129" s="48">
        <f>P128</f>
        <v/>
      </c>
      <c r="N129" s="49">
        <f>IF(M129&gt;0,M129*Plan!$D$25/100/12,0)</f>
        <v/>
      </c>
      <c r="O129" s="48">
        <f>IF(M129&lt;=0,0,MIN(M129+N129,Plan!$E$25+L129))</f>
        <v/>
      </c>
      <c r="P129" s="50">
        <f>MAX(0,M129+N129-O129)</f>
        <v/>
      </c>
      <c r="Q129" s="51">
        <f>L129-IF(M129&lt;=0,0,MAX(0,O129-Plan!$E$25))</f>
        <v/>
      </c>
      <c r="R129" s="48">
        <f>U128</f>
        <v/>
      </c>
      <c r="S129" s="49">
        <f>IF(R129&gt;0,R129*Plan!$D$26/100/12,0)</f>
        <v/>
      </c>
      <c r="T129" s="48">
        <f>IF(R129&lt;=0,0,MIN(R129+S129,Plan!$E$26+Q129))</f>
        <v/>
      </c>
      <c r="U129" s="50">
        <f>MAX(0,R129+S129-T129)</f>
        <v/>
      </c>
      <c r="V129" s="51">
        <f>Q129-IF(R129&lt;=0,0,MAX(0,T129-Plan!$E$26))</f>
        <v/>
      </c>
      <c r="W129" s="48">
        <f>Z128</f>
        <v/>
      </c>
      <c r="X129" s="49">
        <f>IF(W129&gt;0,W129*Plan!$D$27/100/12,0)</f>
        <v/>
      </c>
      <c r="Y129" s="48">
        <f>IF(W129&lt;=0,0,MIN(W129+X129,Plan!$E$27+V129))</f>
        <v/>
      </c>
      <c r="Z129" s="50">
        <f>MAX(0,W129+X129-Y129)</f>
        <v/>
      </c>
      <c r="AA129" s="51">
        <f>V129-IF(W129&lt;=0,0,MAX(0,Y129-Plan!$E$27))</f>
        <v/>
      </c>
      <c r="AB129" s="48">
        <f>AE128</f>
        <v/>
      </c>
      <c r="AC129" s="49">
        <f>IF(AB129&gt;0,AB129*Plan!$D$28/100/12,0)</f>
        <v/>
      </c>
      <c r="AD129" s="48">
        <f>IF(AB129&lt;=0,0,MIN(AB129+AC129,Plan!$E$28+AA129))</f>
        <v/>
      </c>
      <c r="AE129" s="50">
        <f>MAX(0,AB129+AC129-AD129)</f>
        <v/>
      </c>
      <c r="AF129" s="51">
        <f>AA129-IF(AB129&lt;=0,0,MAX(0,AD129-Plan!$E$28))</f>
        <v/>
      </c>
      <c r="AG129" s="50">
        <f>F129+K129+P129+U129+Z129+AE129</f>
        <v/>
      </c>
    </row>
    <row r="130">
      <c r="A130" s="40" t="n">
        <v>123</v>
      </c>
      <c r="B130" s="41">
        <f>EDATE(Plan!$C$18,122)</f>
        <v/>
      </c>
      <c r="C130" s="42">
        <f>F129</f>
        <v/>
      </c>
      <c r="D130" s="43">
        <f>IF(C130&gt;0,C130*Plan!$D$23/100/12,0)</f>
        <v/>
      </c>
      <c r="E130" s="42">
        <f>IF(C130&lt;=0,0,MIN(C130+D130,Plan!$E$23+(Plan!$C$17+IF(C130&lt;=0,Plan!$E$23,MAX(0,Plan!$E$23-(C130+D130)))+IF(H130&lt;=0,Plan!$E$24,MAX(0,Plan!$E$24-(H130+I130)))+IF(M130&lt;=0,Plan!$E$25,MAX(0,Plan!$E$25-(M130+N130)))+IF(R130&lt;=0,Plan!$E$26,MAX(0,Plan!$E$26-(R130+S130)))+IF(W130&lt;=0,Plan!$E$27,MAX(0,Plan!$E$27-(W130+X130)))+IF(AB130&lt;=0,Plan!$E$28,MAX(0,Plan!$E$28-(AB130+AC130))))))</f>
        <v/>
      </c>
      <c r="F130" s="44">
        <f>MAX(0,C130+D130-E130)</f>
        <v/>
      </c>
      <c r="G130" s="45">
        <f>(Plan!$C$17+IF(C130&lt;=0,Plan!$E$23,MAX(0,Plan!$E$23-(C130+D130)))+IF(H130&lt;=0,Plan!$E$24,MAX(0,Plan!$E$24-(H130+I130)))+IF(M130&lt;=0,Plan!$E$25,MAX(0,Plan!$E$25-(M130+N130)))+IF(R130&lt;=0,Plan!$E$26,MAX(0,Plan!$E$26-(R130+S130)))+IF(W130&lt;=0,Plan!$E$27,MAX(0,Plan!$E$27-(W130+X130)))+IF(AB130&lt;=0,Plan!$E$28,MAX(0,Plan!$E$28-(AB130+AC130))))-IF(C130&lt;=0,0,MAX(0,E130-Plan!$E$23))</f>
        <v/>
      </c>
      <c r="H130" s="42">
        <f>K129</f>
        <v/>
      </c>
      <c r="I130" s="43">
        <f>IF(H130&gt;0,H130*Plan!$D$24/100/12,0)</f>
        <v/>
      </c>
      <c r="J130" s="42">
        <f>IF(H130&lt;=0,0,MIN(H130+I130,Plan!$E$24+G130))</f>
        <v/>
      </c>
      <c r="K130" s="44">
        <f>MAX(0,H130+I130-J130)</f>
        <v/>
      </c>
      <c r="L130" s="45">
        <f>G130-IF(H130&lt;=0,0,MAX(0,J130-Plan!$E$24))</f>
        <v/>
      </c>
      <c r="M130" s="42">
        <f>P129</f>
        <v/>
      </c>
      <c r="N130" s="43">
        <f>IF(M130&gt;0,M130*Plan!$D$25/100/12,0)</f>
        <v/>
      </c>
      <c r="O130" s="42">
        <f>IF(M130&lt;=0,0,MIN(M130+N130,Plan!$E$25+L130))</f>
        <v/>
      </c>
      <c r="P130" s="44">
        <f>MAX(0,M130+N130-O130)</f>
        <v/>
      </c>
      <c r="Q130" s="45">
        <f>L130-IF(M130&lt;=0,0,MAX(0,O130-Plan!$E$25))</f>
        <v/>
      </c>
      <c r="R130" s="42">
        <f>U129</f>
        <v/>
      </c>
      <c r="S130" s="43">
        <f>IF(R130&gt;0,R130*Plan!$D$26/100/12,0)</f>
        <v/>
      </c>
      <c r="T130" s="42">
        <f>IF(R130&lt;=0,0,MIN(R130+S130,Plan!$E$26+Q130))</f>
        <v/>
      </c>
      <c r="U130" s="44">
        <f>MAX(0,R130+S130-T130)</f>
        <v/>
      </c>
      <c r="V130" s="45">
        <f>Q130-IF(R130&lt;=0,0,MAX(0,T130-Plan!$E$26))</f>
        <v/>
      </c>
      <c r="W130" s="42">
        <f>Z129</f>
        <v/>
      </c>
      <c r="X130" s="43">
        <f>IF(W130&gt;0,W130*Plan!$D$27/100/12,0)</f>
        <v/>
      </c>
      <c r="Y130" s="42">
        <f>IF(W130&lt;=0,0,MIN(W130+X130,Plan!$E$27+V130))</f>
        <v/>
      </c>
      <c r="Z130" s="44">
        <f>MAX(0,W130+X130-Y130)</f>
        <v/>
      </c>
      <c r="AA130" s="45">
        <f>V130-IF(W130&lt;=0,0,MAX(0,Y130-Plan!$E$27))</f>
        <v/>
      </c>
      <c r="AB130" s="42">
        <f>AE129</f>
        <v/>
      </c>
      <c r="AC130" s="43">
        <f>IF(AB130&gt;0,AB130*Plan!$D$28/100/12,0)</f>
        <v/>
      </c>
      <c r="AD130" s="42">
        <f>IF(AB130&lt;=0,0,MIN(AB130+AC130,Plan!$E$28+AA130))</f>
        <v/>
      </c>
      <c r="AE130" s="44">
        <f>MAX(0,AB130+AC130-AD130)</f>
        <v/>
      </c>
      <c r="AF130" s="45">
        <f>AA130-IF(AB130&lt;=0,0,MAX(0,AD130-Plan!$E$28))</f>
        <v/>
      </c>
      <c r="AG130" s="44">
        <f>F130+K130+P130+U130+Z130+AE130</f>
        <v/>
      </c>
    </row>
    <row r="131">
      <c r="A131" s="46" t="n">
        <v>124</v>
      </c>
      <c r="B131" s="47">
        <f>EDATE(Plan!$C$18,123)</f>
        <v/>
      </c>
      <c r="C131" s="48">
        <f>F130</f>
        <v/>
      </c>
      <c r="D131" s="49">
        <f>IF(C131&gt;0,C131*Plan!$D$23/100/12,0)</f>
        <v/>
      </c>
      <c r="E131" s="48">
        <f>IF(C131&lt;=0,0,MIN(C131+D131,Plan!$E$23+(Plan!$C$17+IF(C131&lt;=0,Plan!$E$23,MAX(0,Plan!$E$23-(C131+D131)))+IF(H131&lt;=0,Plan!$E$24,MAX(0,Plan!$E$24-(H131+I131)))+IF(M131&lt;=0,Plan!$E$25,MAX(0,Plan!$E$25-(M131+N131)))+IF(R131&lt;=0,Plan!$E$26,MAX(0,Plan!$E$26-(R131+S131)))+IF(W131&lt;=0,Plan!$E$27,MAX(0,Plan!$E$27-(W131+X131)))+IF(AB131&lt;=0,Plan!$E$28,MAX(0,Plan!$E$28-(AB131+AC131))))))</f>
        <v/>
      </c>
      <c r="F131" s="50">
        <f>MAX(0,C131+D131-E131)</f>
        <v/>
      </c>
      <c r="G131" s="51">
        <f>(Plan!$C$17+IF(C131&lt;=0,Plan!$E$23,MAX(0,Plan!$E$23-(C131+D131)))+IF(H131&lt;=0,Plan!$E$24,MAX(0,Plan!$E$24-(H131+I131)))+IF(M131&lt;=0,Plan!$E$25,MAX(0,Plan!$E$25-(M131+N131)))+IF(R131&lt;=0,Plan!$E$26,MAX(0,Plan!$E$26-(R131+S131)))+IF(W131&lt;=0,Plan!$E$27,MAX(0,Plan!$E$27-(W131+X131)))+IF(AB131&lt;=0,Plan!$E$28,MAX(0,Plan!$E$28-(AB131+AC131))))-IF(C131&lt;=0,0,MAX(0,E131-Plan!$E$23))</f>
        <v/>
      </c>
      <c r="H131" s="48">
        <f>K130</f>
        <v/>
      </c>
      <c r="I131" s="49">
        <f>IF(H131&gt;0,H131*Plan!$D$24/100/12,0)</f>
        <v/>
      </c>
      <c r="J131" s="48">
        <f>IF(H131&lt;=0,0,MIN(H131+I131,Plan!$E$24+G131))</f>
        <v/>
      </c>
      <c r="K131" s="50">
        <f>MAX(0,H131+I131-J131)</f>
        <v/>
      </c>
      <c r="L131" s="51">
        <f>G131-IF(H131&lt;=0,0,MAX(0,J131-Plan!$E$24))</f>
        <v/>
      </c>
      <c r="M131" s="48">
        <f>P130</f>
        <v/>
      </c>
      <c r="N131" s="49">
        <f>IF(M131&gt;0,M131*Plan!$D$25/100/12,0)</f>
        <v/>
      </c>
      <c r="O131" s="48">
        <f>IF(M131&lt;=0,0,MIN(M131+N131,Plan!$E$25+L131))</f>
        <v/>
      </c>
      <c r="P131" s="50">
        <f>MAX(0,M131+N131-O131)</f>
        <v/>
      </c>
      <c r="Q131" s="51">
        <f>L131-IF(M131&lt;=0,0,MAX(0,O131-Plan!$E$25))</f>
        <v/>
      </c>
      <c r="R131" s="48">
        <f>U130</f>
        <v/>
      </c>
      <c r="S131" s="49">
        <f>IF(R131&gt;0,R131*Plan!$D$26/100/12,0)</f>
        <v/>
      </c>
      <c r="T131" s="48">
        <f>IF(R131&lt;=0,0,MIN(R131+S131,Plan!$E$26+Q131))</f>
        <v/>
      </c>
      <c r="U131" s="50">
        <f>MAX(0,R131+S131-T131)</f>
        <v/>
      </c>
      <c r="V131" s="51">
        <f>Q131-IF(R131&lt;=0,0,MAX(0,T131-Plan!$E$26))</f>
        <v/>
      </c>
      <c r="W131" s="48">
        <f>Z130</f>
        <v/>
      </c>
      <c r="X131" s="49">
        <f>IF(W131&gt;0,W131*Plan!$D$27/100/12,0)</f>
        <v/>
      </c>
      <c r="Y131" s="48">
        <f>IF(W131&lt;=0,0,MIN(W131+X131,Plan!$E$27+V131))</f>
        <v/>
      </c>
      <c r="Z131" s="50">
        <f>MAX(0,W131+X131-Y131)</f>
        <v/>
      </c>
      <c r="AA131" s="51">
        <f>V131-IF(W131&lt;=0,0,MAX(0,Y131-Plan!$E$27))</f>
        <v/>
      </c>
      <c r="AB131" s="48">
        <f>AE130</f>
        <v/>
      </c>
      <c r="AC131" s="49">
        <f>IF(AB131&gt;0,AB131*Plan!$D$28/100/12,0)</f>
        <v/>
      </c>
      <c r="AD131" s="48">
        <f>IF(AB131&lt;=0,0,MIN(AB131+AC131,Plan!$E$28+AA131))</f>
        <v/>
      </c>
      <c r="AE131" s="50">
        <f>MAX(0,AB131+AC131-AD131)</f>
        <v/>
      </c>
      <c r="AF131" s="51">
        <f>AA131-IF(AB131&lt;=0,0,MAX(0,AD131-Plan!$E$28))</f>
        <v/>
      </c>
      <c r="AG131" s="50">
        <f>F131+K131+P131+U131+Z131+AE131</f>
        <v/>
      </c>
    </row>
    <row r="132">
      <c r="A132" s="40" t="n">
        <v>125</v>
      </c>
      <c r="B132" s="41">
        <f>EDATE(Plan!$C$18,124)</f>
        <v/>
      </c>
      <c r="C132" s="42">
        <f>F131</f>
        <v/>
      </c>
      <c r="D132" s="43">
        <f>IF(C132&gt;0,C132*Plan!$D$23/100/12,0)</f>
        <v/>
      </c>
      <c r="E132" s="42">
        <f>IF(C132&lt;=0,0,MIN(C132+D132,Plan!$E$23+(Plan!$C$17+IF(C132&lt;=0,Plan!$E$23,MAX(0,Plan!$E$23-(C132+D132)))+IF(H132&lt;=0,Plan!$E$24,MAX(0,Plan!$E$24-(H132+I132)))+IF(M132&lt;=0,Plan!$E$25,MAX(0,Plan!$E$25-(M132+N132)))+IF(R132&lt;=0,Plan!$E$26,MAX(0,Plan!$E$26-(R132+S132)))+IF(W132&lt;=0,Plan!$E$27,MAX(0,Plan!$E$27-(W132+X132)))+IF(AB132&lt;=0,Plan!$E$28,MAX(0,Plan!$E$28-(AB132+AC132))))))</f>
        <v/>
      </c>
      <c r="F132" s="44">
        <f>MAX(0,C132+D132-E132)</f>
        <v/>
      </c>
      <c r="G132" s="45">
        <f>(Plan!$C$17+IF(C132&lt;=0,Plan!$E$23,MAX(0,Plan!$E$23-(C132+D132)))+IF(H132&lt;=0,Plan!$E$24,MAX(0,Plan!$E$24-(H132+I132)))+IF(M132&lt;=0,Plan!$E$25,MAX(0,Plan!$E$25-(M132+N132)))+IF(R132&lt;=0,Plan!$E$26,MAX(0,Plan!$E$26-(R132+S132)))+IF(W132&lt;=0,Plan!$E$27,MAX(0,Plan!$E$27-(W132+X132)))+IF(AB132&lt;=0,Plan!$E$28,MAX(0,Plan!$E$28-(AB132+AC132))))-IF(C132&lt;=0,0,MAX(0,E132-Plan!$E$23))</f>
        <v/>
      </c>
      <c r="H132" s="42">
        <f>K131</f>
        <v/>
      </c>
      <c r="I132" s="43">
        <f>IF(H132&gt;0,H132*Plan!$D$24/100/12,0)</f>
        <v/>
      </c>
      <c r="J132" s="42">
        <f>IF(H132&lt;=0,0,MIN(H132+I132,Plan!$E$24+G132))</f>
        <v/>
      </c>
      <c r="K132" s="44">
        <f>MAX(0,H132+I132-J132)</f>
        <v/>
      </c>
      <c r="L132" s="45">
        <f>G132-IF(H132&lt;=0,0,MAX(0,J132-Plan!$E$24))</f>
        <v/>
      </c>
      <c r="M132" s="42">
        <f>P131</f>
        <v/>
      </c>
      <c r="N132" s="43">
        <f>IF(M132&gt;0,M132*Plan!$D$25/100/12,0)</f>
        <v/>
      </c>
      <c r="O132" s="42">
        <f>IF(M132&lt;=0,0,MIN(M132+N132,Plan!$E$25+L132))</f>
        <v/>
      </c>
      <c r="P132" s="44">
        <f>MAX(0,M132+N132-O132)</f>
        <v/>
      </c>
      <c r="Q132" s="45">
        <f>L132-IF(M132&lt;=0,0,MAX(0,O132-Plan!$E$25))</f>
        <v/>
      </c>
      <c r="R132" s="42">
        <f>U131</f>
        <v/>
      </c>
      <c r="S132" s="43">
        <f>IF(R132&gt;0,R132*Plan!$D$26/100/12,0)</f>
        <v/>
      </c>
      <c r="T132" s="42">
        <f>IF(R132&lt;=0,0,MIN(R132+S132,Plan!$E$26+Q132))</f>
        <v/>
      </c>
      <c r="U132" s="44">
        <f>MAX(0,R132+S132-T132)</f>
        <v/>
      </c>
      <c r="V132" s="45">
        <f>Q132-IF(R132&lt;=0,0,MAX(0,T132-Plan!$E$26))</f>
        <v/>
      </c>
      <c r="W132" s="42">
        <f>Z131</f>
        <v/>
      </c>
      <c r="X132" s="43">
        <f>IF(W132&gt;0,W132*Plan!$D$27/100/12,0)</f>
        <v/>
      </c>
      <c r="Y132" s="42">
        <f>IF(W132&lt;=0,0,MIN(W132+X132,Plan!$E$27+V132))</f>
        <v/>
      </c>
      <c r="Z132" s="44">
        <f>MAX(0,W132+X132-Y132)</f>
        <v/>
      </c>
      <c r="AA132" s="45">
        <f>V132-IF(W132&lt;=0,0,MAX(0,Y132-Plan!$E$27))</f>
        <v/>
      </c>
      <c r="AB132" s="42">
        <f>AE131</f>
        <v/>
      </c>
      <c r="AC132" s="43">
        <f>IF(AB132&gt;0,AB132*Plan!$D$28/100/12,0)</f>
        <v/>
      </c>
      <c r="AD132" s="42">
        <f>IF(AB132&lt;=0,0,MIN(AB132+AC132,Plan!$E$28+AA132))</f>
        <v/>
      </c>
      <c r="AE132" s="44">
        <f>MAX(0,AB132+AC132-AD132)</f>
        <v/>
      </c>
      <c r="AF132" s="45">
        <f>AA132-IF(AB132&lt;=0,0,MAX(0,AD132-Plan!$E$28))</f>
        <v/>
      </c>
      <c r="AG132" s="44">
        <f>F132+K132+P132+U132+Z132+AE132</f>
        <v/>
      </c>
    </row>
    <row r="133">
      <c r="A133" s="46" t="n">
        <v>126</v>
      </c>
      <c r="B133" s="47">
        <f>EDATE(Plan!$C$18,125)</f>
        <v/>
      </c>
      <c r="C133" s="48">
        <f>F132</f>
        <v/>
      </c>
      <c r="D133" s="49">
        <f>IF(C133&gt;0,C133*Plan!$D$23/100/12,0)</f>
        <v/>
      </c>
      <c r="E133" s="48">
        <f>IF(C133&lt;=0,0,MIN(C133+D133,Plan!$E$23+(Plan!$C$17+IF(C133&lt;=0,Plan!$E$23,MAX(0,Plan!$E$23-(C133+D133)))+IF(H133&lt;=0,Plan!$E$24,MAX(0,Plan!$E$24-(H133+I133)))+IF(M133&lt;=0,Plan!$E$25,MAX(0,Plan!$E$25-(M133+N133)))+IF(R133&lt;=0,Plan!$E$26,MAX(0,Plan!$E$26-(R133+S133)))+IF(W133&lt;=0,Plan!$E$27,MAX(0,Plan!$E$27-(W133+X133)))+IF(AB133&lt;=0,Plan!$E$28,MAX(0,Plan!$E$28-(AB133+AC133))))))</f>
        <v/>
      </c>
      <c r="F133" s="50">
        <f>MAX(0,C133+D133-E133)</f>
        <v/>
      </c>
      <c r="G133" s="51">
        <f>(Plan!$C$17+IF(C133&lt;=0,Plan!$E$23,MAX(0,Plan!$E$23-(C133+D133)))+IF(H133&lt;=0,Plan!$E$24,MAX(0,Plan!$E$24-(H133+I133)))+IF(M133&lt;=0,Plan!$E$25,MAX(0,Plan!$E$25-(M133+N133)))+IF(R133&lt;=0,Plan!$E$26,MAX(0,Plan!$E$26-(R133+S133)))+IF(W133&lt;=0,Plan!$E$27,MAX(0,Plan!$E$27-(W133+X133)))+IF(AB133&lt;=0,Plan!$E$28,MAX(0,Plan!$E$28-(AB133+AC133))))-IF(C133&lt;=0,0,MAX(0,E133-Plan!$E$23))</f>
        <v/>
      </c>
      <c r="H133" s="48">
        <f>K132</f>
        <v/>
      </c>
      <c r="I133" s="49">
        <f>IF(H133&gt;0,H133*Plan!$D$24/100/12,0)</f>
        <v/>
      </c>
      <c r="J133" s="48">
        <f>IF(H133&lt;=0,0,MIN(H133+I133,Plan!$E$24+G133))</f>
        <v/>
      </c>
      <c r="K133" s="50">
        <f>MAX(0,H133+I133-J133)</f>
        <v/>
      </c>
      <c r="L133" s="51">
        <f>G133-IF(H133&lt;=0,0,MAX(0,J133-Plan!$E$24))</f>
        <v/>
      </c>
      <c r="M133" s="48">
        <f>P132</f>
        <v/>
      </c>
      <c r="N133" s="49">
        <f>IF(M133&gt;0,M133*Plan!$D$25/100/12,0)</f>
        <v/>
      </c>
      <c r="O133" s="48">
        <f>IF(M133&lt;=0,0,MIN(M133+N133,Plan!$E$25+L133))</f>
        <v/>
      </c>
      <c r="P133" s="50">
        <f>MAX(0,M133+N133-O133)</f>
        <v/>
      </c>
      <c r="Q133" s="51">
        <f>L133-IF(M133&lt;=0,0,MAX(0,O133-Plan!$E$25))</f>
        <v/>
      </c>
      <c r="R133" s="48">
        <f>U132</f>
        <v/>
      </c>
      <c r="S133" s="49">
        <f>IF(R133&gt;0,R133*Plan!$D$26/100/12,0)</f>
        <v/>
      </c>
      <c r="T133" s="48">
        <f>IF(R133&lt;=0,0,MIN(R133+S133,Plan!$E$26+Q133))</f>
        <v/>
      </c>
      <c r="U133" s="50">
        <f>MAX(0,R133+S133-T133)</f>
        <v/>
      </c>
      <c r="V133" s="51">
        <f>Q133-IF(R133&lt;=0,0,MAX(0,T133-Plan!$E$26))</f>
        <v/>
      </c>
      <c r="W133" s="48">
        <f>Z132</f>
        <v/>
      </c>
      <c r="X133" s="49">
        <f>IF(W133&gt;0,W133*Plan!$D$27/100/12,0)</f>
        <v/>
      </c>
      <c r="Y133" s="48">
        <f>IF(W133&lt;=0,0,MIN(W133+X133,Plan!$E$27+V133))</f>
        <v/>
      </c>
      <c r="Z133" s="50">
        <f>MAX(0,W133+X133-Y133)</f>
        <v/>
      </c>
      <c r="AA133" s="51">
        <f>V133-IF(W133&lt;=0,0,MAX(0,Y133-Plan!$E$27))</f>
        <v/>
      </c>
      <c r="AB133" s="48">
        <f>AE132</f>
        <v/>
      </c>
      <c r="AC133" s="49">
        <f>IF(AB133&gt;0,AB133*Plan!$D$28/100/12,0)</f>
        <v/>
      </c>
      <c r="AD133" s="48">
        <f>IF(AB133&lt;=0,0,MIN(AB133+AC133,Plan!$E$28+AA133))</f>
        <v/>
      </c>
      <c r="AE133" s="50">
        <f>MAX(0,AB133+AC133-AD133)</f>
        <v/>
      </c>
      <c r="AF133" s="51">
        <f>AA133-IF(AB133&lt;=0,0,MAX(0,AD133-Plan!$E$28))</f>
        <v/>
      </c>
      <c r="AG133" s="50">
        <f>F133+K133+P133+U133+Z133+AE133</f>
        <v/>
      </c>
    </row>
    <row r="134">
      <c r="A134" s="40" t="n">
        <v>127</v>
      </c>
      <c r="B134" s="41">
        <f>EDATE(Plan!$C$18,126)</f>
        <v/>
      </c>
      <c r="C134" s="42">
        <f>F133</f>
        <v/>
      </c>
      <c r="D134" s="43">
        <f>IF(C134&gt;0,C134*Plan!$D$23/100/12,0)</f>
        <v/>
      </c>
      <c r="E134" s="42">
        <f>IF(C134&lt;=0,0,MIN(C134+D134,Plan!$E$23+(Plan!$C$17+IF(C134&lt;=0,Plan!$E$23,MAX(0,Plan!$E$23-(C134+D134)))+IF(H134&lt;=0,Plan!$E$24,MAX(0,Plan!$E$24-(H134+I134)))+IF(M134&lt;=0,Plan!$E$25,MAX(0,Plan!$E$25-(M134+N134)))+IF(R134&lt;=0,Plan!$E$26,MAX(0,Plan!$E$26-(R134+S134)))+IF(W134&lt;=0,Plan!$E$27,MAX(0,Plan!$E$27-(W134+X134)))+IF(AB134&lt;=0,Plan!$E$28,MAX(0,Plan!$E$28-(AB134+AC134))))))</f>
        <v/>
      </c>
      <c r="F134" s="44">
        <f>MAX(0,C134+D134-E134)</f>
        <v/>
      </c>
      <c r="G134" s="45">
        <f>(Plan!$C$17+IF(C134&lt;=0,Plan!$E$23,MAX(0,Plan!$E$23-(C134+D134)))+IF(H134&lt;=0,Plan!$E$24,MAX(0,Plan!$E$24-(H134+I134)))+IF(M134&lt;=0,Plan!$E$25,MAX(0,Plan!$E$25-(M134+N134)))+IF(R134&lt;=0,Plan!$E$26,MAX(0,Plan!$E$26-(R134+S134)))+IF(W134&lt;=0,Plan!$E$27,MAX(0,Plan!$E$27-(W134+X134)))+IF(AB134&lt;=0,Plan!$E$28,MAX(0,Plan!$E$28-(AB134+AC134))))-IF(C134&lt;=0,0,MAX(0,E134-Plan!$E$23))</f>
        <v/>
      </c>
      <c r="H134" s="42">
        <f>K133</f>
        <v/>
      </c>
      <c r="I134" s="43">
        <f>IF(H134&gt;0,H134*Plan!$D$24/100/12,0)</f>
        <v/>
      </c>
      <c r="J134" s="42">
        <f>IF(H134&lt;=0,0,MIN(H134+I134,Plan!$E$24+G134))</f>
        <v/>
      </c>
      <c r="K134" s="44">
        <f>MAX(0,H134+I134-J134)</f>
        <v/>
      </c>
      <c r="L134" s="45">
        <f>G134-IF(H134&lt;=0,0,MAX(0,J134-Plan!$E$24))</f>
        <v/>
      </c>
      <c r="M134" s="42">
        <f>P133</f>
        <v/>
      </c>
      <c r="N134" s="43">
        <f>IF(M134&gt;0,M134*Plan!$D$25/100/12,0)</f>
        <v/>
      </c>
      <c r="O134" s="42">
        <f>IF(M134&lt;=0,0,MIN(M134+N134,Plan!$E$25+L134))</f>
        <v/>
      </c>
      <c r="P134" s="44">
        <f>MAX(0,M134+N134-O134)</f>
        <v/>
      </c>
      <c r="Q134" s="45">
        <f>L134-IF(M134&lt;=0,0,MAX(0,O134-Plan!$E$25))</f>
        <v/>
      </c>
      <c r="R134" s="42">
        <f>U133</f>
        <v/>
      </c>
      <c r="S134" s="43">
        <f>IF(R134&gt;0,R134*Plan!$D$26/100/12,0)</f>
        <v/>
      </c>
      <c r="T134" s="42">
        <f>IF(R134&lt;=0,0,MIN(R134+S134,Plan!$E$26+Q134))</f>
        <v/>
      </c>
      <c r="U134" s="44">
        <f>MAX(0,R134+S134-T134)</f>
        <v/>
      </c>
      <c r="V134" s="45">
        <f>Q134-IF(R134&lt;=0,0,MAX(0,T134-Plan!$E$26))</f>
        <v/>
      </c>
      <c r="W134" s="42">
        <f>Z133</f>
        <v/>
      </c>
      <c r="X134" s="43">
        <f>IF(W134&gt;0,W134*Plan!$D$27/100/12,0)</f>
        <v/>
      </c>
      <c r="Y134" s="42">
        <f>IF(W134&lt;=0,0,MIN(W134+X134,Plan!$E$27+V134))</f>
        <v/>
      </c>
      <c r="Z134" s="44">
        <f>MAX(0,W134+X134-Y134)</f>
        <v/>
      </c>
      <c r="AA134" s="45">
        <f>V134-IF(W134&lt;=0,0,MAX(0,Y134-Plan!$E$27))</f>
        <v/>
      </c>
      <c r="AB134" s="42">
        <f>AE133</f>
        <v/>
      </c>
      <c r="AC134" s="43">
        <f>IF(AB134&gt;0,AB134*Plan!$D$28/100/12,0)</f>
        <v/>
      </c>
      <c r="AD134" s="42">
        <f>IF(AB134&lt;=0,0,MIN(AB134+AC134,Plan!$E$28+AA134))</f>
        <v/>
      </c>
      <c r="AE134" s="44">
        <f>MAX(0,AB134+AC134-AD134)</f>
        <v/>
      </c>
      <c r="AF134" s="45">
        <f>AA134-IF(AB134&lt;=0,0,MAX(0,AD134-Plan!$E$28))</f>
        <v/>
      </c>
      <c r="AG134" s="44">
        <f>F134+K134+P134+U134+Z134+AE134</f>
        <v/>
      </c>
    </row>
    <row r="135">
      <c r="A135" s="46" t="n">
        <v>128</v>
      </c>
      <c r="B135" s="47">
        <f>EDATE(Plan!$C$18,127)</f>
        <v/>
      </c>
      <c r="C135" s="48">
        <f>F134</f>
        <v/>
      </c>
      <c r="D135" s="49">
        <f>IF(C135&gt;0,C135*Plan!$D$23/100/12,0)</f>
        <v/>
      </c>
      <c r="E135" s="48">
        <f>IF(C135&lt;=0,0,MIN(C135+D135,Plan!$E$23+(Plan!$C$17+IF(C135&lt;=0,Plan!$E$23,MAX(0,Plan!$E$23-(C135+D135)))+IF(H135&lt;=0,Plan!$E$24,MAX(0,Plan!$E$24-(H135+I135)))+IF(M135&lt;=0,Plan!$E$25,MAX(0,Plan!$E$25-(M135+N135)))+IF(R135&lt;=0,Plan!$E$26,MAX(0,Plan!$E$26-(R135+S135)))+IF(W135&lt;=0,Plan!$E$27,MAX(0,Plan!$E$27-(W135+X135)))+IF(AB135&lt;=0,Plan!$E$28,MAX(0,Plan!$E$28-(AB135+AC135))))))</f>
        <v/>
      </c>
      <c r="F135" s="50">
        <f>MAX(0,C135+D135-E135)</f>
        <v/>
      </c>
      <c r="G135" s="51">
        <f>(Plan!$C$17+IF(C135&lt;=0,Plan!$E$23,MAX(0,Plan!$E$23-(C135+D135)))+IF(H135&lt;=0,Plan!$E$24,MAX(0,Plan!$E$24-(H135+I135)))+IF(M135&lt;=0,Plan!$E$25,MAX(0,Plan!$E$25-(M135+N135)))+IF(R135&lt;=0,Plan!$E$26,MAX(0,Plan!$E$26-(R135+S135)))+IF(W135&lt;=0,Plan!$E$27,MAX(0,Plan!$E$27-(W135+X135)))+IF(AB135&lt;=0,Plan!$E$28,MAX(0,Plan!$E$28-(AB135+AC135))))-IF(C135&lt;=0,0,MAX(0,E135-Plan!$E$23))</f>
        <v/>
      </c>
      <c r="H135" s="48">
        <f>K134</f>
        <v/>
      </c>
      <c r="I135" s="49">
        <f>IF(H135&gt;0,H135*Plan!$D$24/100/12,0)</f>
        <v/>
      </c>
      <c r="J135" s="48">
        <f>IF(H135&lt;=0,0,MIN(H135+I135,Plan!$E$24+G135))</f>
        <v/>
      </c>
      <c r="K135" s="50">
        <f>MAX(0,H135+I135-J135)</f>
        <v/>
      </c>
      <c r="L135" s="51">
        <f>G135-IF(H135&lt;=0,0,MAX(0,J135-Plan!$E$24))</f>
        <v/>
      </c>
      <c r="M135" s="48">
        <f>P134</f>
        <v/>
      </c>
      <c r="N135" s="49">
        <f>IF(M135&gt;0,M135*Plan!$D$25/100/12,0)</f>
        <v/>
      </c>
      <c r="O135" s="48">
        <f>IF(M135&lt;=0,0,MIN(M135+N135,Plan!$E$25+L135))</f>
        <v/>
      </c>
      <c r="P135" s="50">
        <f>MAX(0,M135+N135-O135)</f>
        <v/>
      </c>
      <c r="Q135" s="51">
        <f>L135-IF(M135&lt;=0,0,MAX(0,O135-Plan!$E$25))</f>
        <v/>
      </c>
      <c r="R135" s="48">
        <f>U134</f>
        <v/>
      </c>
      <c r="S135" s="49">
        <f>IF(R135&gt;0,R135*Plan!$D$26/100/12,0)</f>
        <v/>
      </c>
      <c r="T135" s="48">
        <f>IF(R135&lt;=0,0,MIN(R135+S135,Plan!$E$26+Q135))</f>
        <v/>
      </c>
      <c r="U135" s="50">
        <f>MAX(0,R135+S135-T135)</f>
        <v/>
      </c>
      <c r="V135" s="51">
        <f>Q135-IF(R135&lt;=0,0,MAX(0,T135-Plan!$E$26))</f>
        <v/>
      </c>
      <c r="W135" s="48">
        <f>Z134</f>
        <v/>
      </c>
      <c r="X135" s="49">
        <f>IF(W135&gt;0,W135*Plan!$D$27/100/12,0)</f>
        <v/>
      </c>
      <c r="Y135" s="48">
        <f>IF(W135&lt;=0,0,MIN(W135+X135,Plan!$E$27+V135))</f>
        <v/>
      </c>
      <c r="Z135" s="50">
        <f>MAX(0,W135+X135-Y135)</f>
        <v/>
      </c>
      <c r="AA135" s="51">
        <f>V135-IF(W135&lt;=0,0,MAX(0,Y135-Plan!$E$27))</f>
        <v/>
      </c>
      <c r="AB135" s="48">
        <f>AE134</f>
        <v/>
      </c>
      <c r="AC135" s="49">
        <f>IF(AB135&gt;0,AB135*Plan!$D$28/100/12,0)</f>
        <v/>
      </c>
      <c r="AD135" s="48">
        <f>IF(AB135&lt;=0,0,MIN(AB135+AC135,Plan!$E$28+AA135))</f>
        <v/>
      </c>
      <c r="AE135" s="50">
        <f>MAX(0,AB135+AC135-AD135)</f>
        <v/>
      </c>
      <c r="AF135" s="51">
        <f>AA135-IF(AB135&lt;=0,0,MAX(0,AD135-Plan!$E$28))</f>
        <v/>
      </c>
      <c r="AG135" s="50">
        <f>F135+K135+P135+U135+Z135+AE135</f>
        <v/>
      </c>
    </row>
    <row r="136">
      <c r="A136" s="40" t="n">
        <v>129</v>
      </c>
      <c r="B136" s="41">
        <f>EDATE(Plan!$C$18,128)</f>
        <v/>
      </c>
      <c r="C136" s="42">
        <f>F135</f>
        <v/>
      </c>
      <c r="D136" s="43">
        <f>IF(C136&gt;0,C136*Plan!$D$23/100/12,0)</f>
        <v/>
      </c>
      <c r="E136" s="42">
        <f>IF(C136&lt;=0,0,MIN(C136+D136,Plan!$E$23+(Plan!$C$17+IF(C136&lt;=0,Plan!$E$23,MAX(0,Plan!$E$23-(C136+D136)))+IF(H136&lt;=0,Plan!$E$24,MAX(0,Plan!$E$24-(H136+I136)))+IF(M136&lt;=0,Plan!$E$25,MAX(0,Plan!$E$25-(M136+N136)))+IF(R136&lt;=0,Plan!$E$26,MAX(0,Plan!$E$26-(R136+S136)))+IF(W136&lt;=0,Plan!$E$27,MAX(0,Plan!$E$27-(W136+X136)))+IF(AB136&lt;=0,Plan!$E$28,MAX(0,Plan!$E$28-(AB136+AC136))))))</f>
        <v/>
      </c>
      <c r="F136" s="44">
        <f>MAX(0,C136+D136-E136)</f>
        <v/>
      </c>
      <c r="G136" s="45">
        <f>(Plan!$C$17+IF(C136&lt;=0,Plan!$E$23,MAX(0,Plan!$E$23-(C136+D136)))+IF(H136&lt;=0,Plan!$E$24,MAX(0,Plan!$E$24-(H136+I136)))+IF(M136&lt;=0,Plan!$E$25,MAX(0,Plan!$E$25-(M136+N136)))+IF(R136&lt;=0,Plan!$E$26,MAX(0,Plan!$E$26-(R136+S136)))+IF(W136&lt;=0,Plan!$E$27,MAX(0,Plan!$E$27-(W136+X136)))+IF(AB136&lt;=0,Plan!$E$28,MAX(0,Plan!$E$28-(AB136+AC136))))-IF(C136&lt;=0,0,MAX(0,E136-Plan!$E$23))</f>
        <v/>
      </c>
      <c r="H136" s="42">
        <f>K135</f>
        <v/>
      </c>
      <c r="I136" s="43">
        <f>IF(H136&gt;0,H136*Plan!$D$24/100/12,0)</f>
        <v/>
      </c>
      <c r="J136" s="42">
        <f>IF(H136&lt;=0,0,MIN(H136+I136,Plan!$E$24+G136))</f>
        <v/>
      </c>
      <c r="K136" s="44">
        <f>MAX(0,H136+I136-J136)</f>
        <v/>
      </c>
      <c r="L136" s="45">
        <f>G136-IF(H136&lt;=0,0,MAX(0,J136-Plan!$E$24))</f>
        <v/>
      </c>
      <c r="M136" s="42">
        <f>P135</f>
        <v/>
      </c>
      <c r="N136" s="43">
        <f>IF(M136&gt;0,M136*Plan!$D$25/100/12,0)</f>
        <v/>
      </c>
      <c r="O136" s="42">
        <f>IF(M136&lt;=0,0,MIN(M136+N136,Plan!$E$25+L136))</f>
        <v/>
      </c>
      <c r="P136" s="44">
        <f>MAX(0,M136+N136-O136)</f>
        <v/>
      </c>
      <c r="Q136" s="45">
        <f>L136-IF(M136&lt;=0,0,MAX(0,O136-Plan!$E$25))</f>
        <v/>
      </c>
      <c r="R136" s="42">
        <f>U135</f>
        <v/>
      </c>
      <c r="S136" s="43">
        <f>IF(R136&gt;0,R136*Plan!$D$26/100/12,0)</f>
        <v/>
      </c>
      <c r="T136" s="42">
        <f>IF(R136&lt;=0,0,MIN(R136+S136,Plan!$E$26+Q136))</f>
        <v/>
      </c>
      <c r="U136" s="44">
        <f>MAX(0,R136+S136-T136)</f>
        <v/>
      </c>
      <c r="V136" s="45">
        <f>Q136-IF(R136&lt;=0,0,MAX(0,T136-Plan!$E$26))</f>
        <v/>
      </c>
      <c r="W136" s="42">
        <f>Z135</f>
        <v/>
      </c>
      <c r="X136" s="43">
        <f>IF(W136&gt;0,W136*Plan!$D$27/100/12,0)</f>
        <v/>
      </c>
      <c r="Y136" s="42">
        <f>IF(W136&lt;=0,0,MIN(W136+X136,Plan!$E$27+V136))</f>
        <v/>
      </c>
      <c r="Z136" s="44">
        <f>MAX(0,W136+X136-Y136)</f>
        <v/>
      </c>
      <c r="AA136" s="45">
        <f>V136-IF(W136&lt;=0,0,MAX(0,Y136-Plan!$E$27))</f>
        <v/>
      </c>
      <c r="AB136" s="42">
        <f>AE135</f>
        <v/>
      </c>
      <c r="AC136" s="43">
        <f>IF(AB136&gt;0,AB136*Plan!$D$28/100/12,0)</f>
        <v/>
      </c>
      <c r="AD136" s="42">
        <f>IF(AB136&lt;=0,0,MIN(AB136+AC136,Plan!$E$28+AA136))</f>
        <v/>
      </c>
      <c r="AE136" s="44">
        <f>MAX(0,AB136+AC136-AD136)</f>
        <v/>
      </c>
      <c r="AF136" s="45">
        <f>AA136-IF(AB136&lt;=0,0,MAX(0,AD136-Plan!$E$28))</f>
        <v/>
      </c>
      <c r="AG136" s="44">
        <f>F136+K136+P136+U136+Z136+AE136</f>
        <v/>
      </c>
    </row>
    <row r="137">
      <c r="A137" s="46" t="n">
        <v>130</v>
      </c>
      <c r="B137" s="47">
        <f>EDATE(Plan!$C$18,129)</f>
        <v/>
      </c>
      <c r="C137" s="48">
        <f>F136</f>
        <v/>
      </c>
      <c r="D137" s="49">
        <f>IF(C137&gt;0,C137*Plan!$D$23/100/12,0)</f>
        <v/>
      </c>
      <c r="E137" s="48">
        <f>IF(C137&lt;=0,0,MIN(C137+D137,Plan!$E$23+(Plan!$C$17+IF(C137&lt;=0,Plan!$E$23,MAX(0,Plan!$E$23-(C137+D137)))+IF(H137&lt;=0,Plan!$E$24,MAX(0,Plan!$E$24-(H137+I137)))+IF(M137&lt;=0,Plan!$E$25,MAX(0,Plan!$E$25-(M137+N137)))+IF(R137&lt;=0,Plan!$E$26,MAX(0,Plan!$E$26-(R137+S137)))+IF(W137&lt;=0,Plan!$E$27,MAX(0,Plan!$E$27-(W137+X137)))+IF(AB137&lt;=0,Plan!$E$28,MAX(0,Plan!$E$28-(AB137+AC137))))))</f>
        <v/>
      </c>
      <c r="F137" s="50">
        <f>MAX(0,C137+D137-E137)</f>
        <v/>
      </c>
      <c r="G137" s="51">
        <f>(Plan!$C$17+IF(C137&lt;=0,Plan!$E$23,MAX(0,Plan!$E$23-(C137+D137)))+IF(H137&lt;=0,Plan!$E$24,MAX(0,Plan!$E$24-(H137+I137)))+IF(M137&lt;=0,Plan!$E$25,MAX(0,Plan!$E$25-(M137+N137)))+IF(R137&lt;=0,Plan!$E$26,MAX(0,Plan!$E$26-(R137+S137)))+IF(W137&lt;=0,Plan!$E$27,MAX(0,Plan!$E$27-(W137+X137)))+IF(AB137&lt;=0,Plan!$E$28,MAX(0,Plan!$E$28-(AB137+AC137))))-IF(C137&lt;=0,0,MAX(0,E137-Plan!$E$23))</f>
        <v/>
      </c>
      <c r="H137" s="48">
        <f>K136</f>
        <v/>
      </c>
      <c r="I137" s="49">
        <f>IF(H137&gt;0,H137*Plan!$D$24/100/12,0)</f>
        <v/>
      </c>
      <c r="J137" s="48">
        <f>IF(H137&lt;=0,0,MIN(H137+I137,Plan!$E$24+G137))</f>
        <v/>
      </c>
      <c r="K137" s="50">
        <f>MAX(0,H137+I137-J137)</f>
        <v/>
      </c>
      <c r="L137" s="51">
        <f>G137-IF(H137&lt;=0,0,MAX(0,J137-Plan!$E$24))</f>
        <v/>
      </c>
      <c r="M137" s="48">
        <f>P136</f>
        <v/>
      </c>
      <c r="N137" s="49">
        <f>IF(M137&gt;0,M137*Plan!$D$25/100/12,0)</f>
        <v/>
      </c>
      <c r="O137" s="48">
        <f>IF(M137&lt;=0,0,MIN(M137+N137,Plan!$E$25+L137))</f>
        <v/>
      </c>
      <c r="P137" s="50">
        <f>MAX(0,M137+N137-O137)</f>
        <v/>
      </c>
      <c r="Q137" s="51">
        <f>L137-IF(M137&lt;=0,0,MAX(0,O137-Plan!$E$25))</f>
        <v/>
      </c>
      <c r="R137" s="48">
        <f>U136</f>
        <v/>
      </c>
      <c r="S137" s="49">
        <f>IF(R137&gt;0,R137*Plan!$D$26/100/12,0)</f>
        <v/>
      </c>
      <c r="T137" s="48">
        <f>IF(R137&lt;=0,0,MIN(R137+S137,Plan!$E$26+Q137))</f>
        <v/>
      </c>
      <c r="U137" s="50">
        <f>MAX(0,R137+S137-T137)</f>
        <v/>
      </c>
      <c r="V137" s="51">
        <f>Q137-IF(R137&lt;=0,0,MAX(0,T137-Plan!$E$26))</f>
        <v/>
      </c>
      <c r="W137" s="48">
        <f>Z136</f>
        <v/>
      </c>
      <c r="X137" s="49">
        <f>IF(W137&gt;0,W137*Plan!$D$27/100/12,0)</f>
        <v/>
      </c>
      <c r="Y137" s="48">
        <f>IF(W137&lt;=0,0,MIN(W137+X137,Plan!$E$27+V137))</f>
        <v/>
      </c>
      <c r="Z137" s="50">
        <f>MAX(0,W137+X137-Y137)</f>
        <v/>
      </c>
      <c r="AA137" s="51">
        <f>V137-IF(W137&lt;=0,0,MAX(0,Y137-Plan!$E$27))</f>
        <v/>
      </c>
      <c r="AB137" s="48">
        <f>AE136</f>
        <v/>
      </c>
      <c r="AC137" s="49">
        <f>IF(AB137&gt;0,AB137*Plan!$D$28/100/12,0)</f>
        <v/>
      </c>
      <c r="AD137" s="48">
        <f>IF(AB137&lt;=0,0,MIN(AB137+AC137,Plan!$E$28+AA137))</f>
        <v/>
      </c>
      <c r="AE137" s="50">
        <f>MAX(0,AB137+AC137-AD137)</f>
        <v/>
      </c>
      <c r="AF137" s="51">
        <f>AA137-IF(AB137&lt;=0,0,MAX(0,AD137-Plan!$E$28))</f>
        <v/>
      </c>
      <c r="AG137" s="50">
        <f>F137+K137+P137+U137+Z137+AE137</f>
        <v/>
      </c>
    </row>
    <row r="138">
      <c r="A138" s="40" t="n">
        <v>131</v>
      </c>
      <c r="B138" s="41">
        <f>EDATE(Plan!$C$18,130)</f>
        <v/>
      </c>
      <c r="C138" s="42">
        <f>F137</f>
        <v/>
      </c>
      <c r="D138" s="43">
        <f>IF(C138&gt;0,C138*Plan!$D$23/100/12,0)</f>
        <v/>
      </c>
      <c r="E138" s="42">
        <f>IF(C138&lt;=0,0,MIN(C138+D138,Plan!$E$23+(Plan!$C$17+IF(C138&lt;=0,Plan!$E$23,MAX(0,Plan!$E$23-(C138+D138)))+IF(H138&lt;=0,Plan!$E$24,MAX(0,Plan!$E$24-(H138+I138)))+IF(M138&lt;=0,Plan!$E$25,MAX(0,Plan!$E$25-(M138+N138)))+IF(R138&lt;=0,Plan!$E$26,MAX(0,Plan!$E$26-(R138+S138)))+IF(W138&lt;=0,Plan!$E$27,MAX(0,Plan!$E$27-(W138+X138)))+IF(AB138&lt;=0,Plan!$E$28,MAX(0,Plan!$E$28-(AB138+AC138))))))</f>
        <v/>
      </c>
      <c r="F138" s="44">
        <f>MAX(0,C138+D138-E138)</f>
        <v/>
      </c>
      <c r="G138" s="45">
        <f>(Plan!$C$17+IF(C138&lt;=0,Plan!$E$23,MAX(0,Plan!$E$23-(C138+D138)))+IF(H138&lt;=0,Plan!$E$24,MAX(0,Plan!$E$24-(H138+I138)))+IF(M138&lt;=0,Plan!$E$25,MAX(0,Plan!$E$25-(M138+N138)))+IF(R138&lt;=0,Plan!$E$26,MAX(0,Plan!$E$26-(R138+S138)))+IF(W138&lt;=0,Plan!$E$27,MAX(0,Plan!$E$27-(W138+X138)))+IF(AB138&lt;=0,Plan!$E$28,MAX(0,Plan!$E$28-(AB138+AC138))))-IF(C138&lt;=0,0,MAX(0,E138-Plan!$E$23))</f>
        <v/>
      </c>
      <c r="H138" s="42">
        <f>K137</f>
        <v/>
      </c>
      <c r="I138" s="43">
        <f>IF(H138&gt;0,H138*Plan!$D$24/100/12,0)</f>
        <v/>
      </c>
      <c r="J138" s="42">
        <f>IF(H138&lt;=0,0,MIN(H138+I138,Plan!$E$24+G138))</f>
        <v/>
      </c>
      <c r="K138" s="44">
        <f>MAX(0,H138+I138-J138)</f>
        <v/>
      </c>
      <c r="L138" s="45">
        <f>G138-IF(H138&lt;=0,0,MAX(0,J138-Plan!$E$24))</f>
        <v/>
      </c>
      <c r="M138" s="42">
        <f>P137</f>
        <v/>
      </c>
      <c r="N138" s="43">
        <f>IF(M138&gt;0,M138*Plan!$D$25/100/12,0)</f>
        <v/>
      </c>
      <c r="O138" s="42">
        <f>IF(M138&lt;=0,0,MIN(M138+N138,Plan!$E$25+L138))</f>
        <v/>
      </c>
      <c r="P138" s="44">
        <f>MAX(0,M138+N138-O138)</f>
        <v/>
      </c>
      <c r="Q138" s="45">
        <f>L138-IF(M138&lt;=0,0,MAX(0,O138-Plan!$E$25))</f>
        <v/>
      </c>
      <c r="R138" s="42">
        <f>U137</f>
        <v/>
      </c>
      <c r="S138" s="43">
        <f>IF(R138&gt;0,R138*Plan!$D$26/100/12,0)</f>
        <v/>
      </c>
      <c r="T138" s="42">
        <f>IF(R138&lt;=0,0,MIN(R138+S138,Plan!$E$26+Q138))</f>
        <v/>
      </c>
      <c r="U138" s="44">
        <f>MAX(0,R138+S138-T138)</f>
        <v/>
      </c>
      <c r="V138" s="45">
        <f>Q138-IF(R138&lt;=0,0,MAX(0,T138-Plan!$E$26))</f>
        <v/>
      </c>
      <c r="W138" s="42">
        <f>Z137</f>
        <v/>
      </c>
      <c r="X138" s="43">
        <f>IF(W138&gt;0,W138*Plan!$D$27/100/12,0)</f>
        <v/>
      </c>
      <c r="Y138" s="42">
        <f>IF(W138&lt;=0,0,MIN(W138+X138,Plan!$E$27+V138))</f>
        <v/>
      </c>
      <c r="Z138" s="44">
        <f>MAX(0,W138+X138-Y138)</f>
        <v/>
      </c>
      <c r="AA138" s="45">
        <f>V138-IF(W138&lt;=0,0,MAX(0,Y138-Plan!$E$27))</f>
        <v/>
      </c>
      <c r="AB138" s="42">
        <f>AE137</f>
        <v/>
      </c>
      <c r="AC138" s="43">
        <f>IF(AB138&gt;0,AB138*Plan!$D$28/100/12,0)</f>
        <v/>
      </c>
      <c r="AD138" s="42">
        <f>IF(AB138&lt;=0,0,MIN(AB138+AC138,Plan!$E$28+AA138))</f>
        <v/>
      </c>
      <c r="AE138" s="44">
        <f>MAX(0,AB138+AC138-AD138)</f>
        <v/>
      </c>
      <c r="AF138" s="45">
        <f>AA138-IF(AB138&lt;=0,0,MAX(0,AD138-Plan!$E$28))</f>
        <v/>
      </c>
      <c r="AG138" s="44">
        <f>F138+K138+P138+U138+Z138+AE138</f>
        <v/>
      </c>
    </row>
    <row r="139">
      <c r="A139" s="46" t="n">
        <v>132</v>
      </c>
      <c r="B139" s="47">
        <f>EDATE(Plan!$C$18,131)</f>
        <v/>
      </c>
      <c r="C139" s="48">
        <f>F138</f>
        <v/>
      </c>
      <c r="D139" s="49">
        <f>IF(C139&gt;0,C139*Plan!$D$23/100/12,0)</f>
        <v/>
      </c>
      <c r="E139" s="48">
        <f>IF(C139&lt;=0,0,MIN(C139+D139,Plan!$E$23+(Plan!$C$17+IF(C139&lt;=0,Plan!$E$23,MAX(0,Plan!$E$23-(C139+D139)))+IF(H139&lt;=0,Plan!$E$24,MAX(0,Plan!$E$24-(H139+I139)))+IF(M139&lt;=0,Plan!$E$25,MAX(0,Plan!$E$25-(M139+N139)))+IF(R139&lt;=0,Plan!$E$26,MAX(0,Plan!$E$26-(R139+S139)))+IF(W139&lt;=0,Plan!$E$27,MAX(0,Plan!$E$27-(W139+X139)))+IF(AB139&lt;=0,Plan!$E$28,MAX(0,Plan!$E$28-(AB139+AC139))))))</f>
        <v/>
      </c>
      <c r="F139" s="50">
        <f>MAX(0,C139+D139-E139)</f>
        <v/>
      </c>
      <c r="G139" s="51">
        <f>(Plan!$C$17+IF(C139&lt;=0,Plan!$E$23,MAX(0,Plan!$E$23-(C139+D139)))+IF(H139&lt;=0,Plan!$E$24,MAX(0,Plan!$E$24-(H139+I139)))+IF(M139&lt;=0,Plan!$E$25,MAX(0,Plan!$E$25-(M139+N139)))+IF(R139&lt;=0,Plan!$E$26,MAX(0,Plan!$E$26-(R139+S139)))+IF(W139&lt;=0,Plan!$E$27,MAX(0,Plan!$E$27-(W139+X139)))+IF(AB139&lt;=0,Plan!$E$28,MAX(0,Plan!$E$28-(AB139+AC139))))-IF(C139&lt;=0,0,MAX(0,E139-Plan!$E$23))</f>
        <v/>
      </c>
      <c r="H139" s="48">
        <f>K138</f>
        <v/>
      </c>
      <c r="I139" s="49">
        <f>IF(H139&gt;0,H139*Plan!$D$24/100/12,0)</f>
        <v/>
      </c>
      <c r="J139" s="48">
        <f>IF(H139&lt;=0,0,MIN(H139+I139,Plan!$E$24+G139))</f>
        <v/>
      </c>
      <c r="K139" s="50">
        <f>MAX(0,H139+I139-J139)</f>
        <v/>
      </c>
      <c r="L139" s="51">
        <f>G139-IF(H139&lt;=0,0,MAX(0,J139-Plan!$E$24))</f>
        <v/>
      </c>
      <c r="M139" s="48">
        <f>P138</f>
        <v/>
      </c>
      <c r="N139" s="49">
        <f>IF(M139&gt;0,M139*Plan!$D$25/100/12,0)</f>
        <v/>
      </c>
      <c r="O139" s="48">
        <f>IF(M139&lt;=0,0,MIN(M139+N139,Plan!$E$25+L139))</f>
        <v/>
      </c>
      <c r="P139" s="50">
        <f>MAX(0,M139+N139-O139)</f>
        <v/>
      </c>
      <c r="Q139" s="51">
        <f>L139-IF(M139&lt;=0,0,MAX(0,O139-Plan!$E$25))</f>
        <v/>
      </c>
      <c r="R139" s="48">
        <f>U138</f>
        <v/>
      </c>
      <c r="S139" s="49">
        <f>IF(R139&gt;0,R139*Plan!$D$26/100/12,0)</f>
        <v/>
      </c>
      <c r="T139" s="48">
        <f>IF(R139&lt;=0,0,MIN(R139+S139,Plan!$E$26+Q139))</f>
        <v/>
      </c>
      <c r="U139" s="50">
        <f>MAX(0,R139+S139-T139)</f>
        <v/>
      </c>
      <c r="V139" s="51">
        <f>Q139-IF(R139&lt;=0,0,MAX(0,T139-Plan!$E$26))</f>
        <v/>
      </c>
      <c r="W139" s="48">
        <f>Z138</f>
        <v/>
      </c>
      <c r="X139" s="49">
        <f>IF(W139&gt;0,W139*Plan!$D$27/100/12,0)</f>
        <v/>
      </c>
      <c r="Y139" s="48">
        <f>IF(W139&lt;=0,0,MIN(W139+X139,Plan!$E$27+V139))</f>
        <v/>
      </c>
      <c r="Z139" s="50">
        <f>MAX(0,W139+X139-Y139)</f>
        <v/>
      </c>
      <c r="AA139" s="51">
        <f>V139-IF(W139&lt;=0,0,MAX(0,Y139-Plan!$E$27))</f>
        <v/>
      </c>
      <c r="AB139" s="48">
        <f>AE138</f>
        <v/>
      </c>
      <c r="AC139" s="49">
        <f>IF(AB139&gt;0,AB139*Plan!$D$28/100/12,0)</f>
        <v/>
      </c>
      <c r="AD139" s="48">
        <f>IF(AB139&lt;=0,0,MIN(AB139+AC139,Plan!$E$28+AA139))</f>
        <v/>
      </c>
      <c r="AE139" s="50">
        <f>MAX(0,AB139+AC139-AD139)</f>
        <v/>
      </c>
      <c r="AF139" s="51">
        <f>AA139-IF(AB139&lt;=0,0,MAX(0,AD139-Plan!$E$28))</f>
        <v/>
      </c>
      <c r="AG139" s="50">
        <f>F139+K139+P139+U139+Z139+AE139</f>
        <v/>
      </c>
    </row>
    <row r="140">
      <c r="A140" s="40" t="n">
        <v>133</v>
      </c>
      <c r="B140" s="41">
        <f>EDATE(Plan!$C$18,132)</f>
        <v/>
      </c>
      <c r="C140" s="42">
        <f>F139</f>
        <v/>
      </c>
      <c r="D140" s="43">
        <f>IF(C140&gt;0,C140*Plan!$D$23/100/12,0)</f>
        <v/>
      </c>
      <c r="E140" s="42">
        <f>IF(C140&lt;=0,0,MIN(C140+D140,Plan!$E$23+(Plan!$C$17+IF(C140&lt;=0,Plan!$E$23,MAX(0,Plan!$E$23-(C140+D140)))+IF(H140&lt;=0,Plan!$E$24,MAX(0,Plan!$E$24-(H140+I140)))+IF(M140&lt;=0,Plan!$E$25,MAX(0,Plan!$E$25-(M140+N140)))+IF(R140&lt;=0,Plan!$E$26,MAX(0,Plan!$E$26-(R140+S140)))+IF(W140&lt;=0,Plan!$E$27,MAX(0,Plan!$E$27-(W140+X140)))+IF(AB140&lt;=0,Plan!$E$28,MAX(0,Plan!$E$28-(AB140+AC140))))))</f>
        <v/>
      </c>
      <c r="F140" s="44">
        <f>MAX(0,C140+D140-E140)</f>
        <v/>
      </c>
      <c r="G140" s="45">
        <f>(Plan!$C$17+IF(C140&lt;=0,Plan!$E$23,MAX(0,Plan!$E$23-(C140+D140)))+IF(H140&lt;=0,Plan!$E$24,MAX(0,Plan!$E$24-(H140+I140)))+IF(M140&lt;=0,Plan!$E$25,MAX(0,Plan!$E$25-(M140+N140)))+IF(R140&lt;=0,Plan!$E$26,MAX(0,Plan!$E$26-(R140+S140)))+IF(W140&lt;=0,Plan!$E$27,MAX(0,Plan!$E$27-(W140+X140)))+IF(AB140&lt;=0,Plan!$E$28,MAX(0,Plan!$E$28-(AB140+AC140))))-IF(C140&lt;=0,0,MAX(0,E140-Plan!$E$23))</f>
        <v/>
      </c>
      <c r="H140" s="42">
        <f>K139</f>
        <v/>
      </c>
      <c r="I140" s="43">
        <f>IF(H140&gt;0,H140*Plan!$D$24/100/12,0)</f>
        <v/>
      </c>
      <c r="J140" s="42">
        <f>IF(H140&lt;=0,0,MIN(H140+I140,Plan!$E$24+G140))</f>
        <v/>
      </c>
      <c r="K140" s="44">
        <f>MAX(0,H140+I140-J140)</f>
        <v/>
      </c>
      <c r="L140" s="45">
        <f>G140-IF(H140&lt;=0,0,MAX(0,J140-Plan!$E$24))</f>
        <v/>
      </c>
      <c r="M140" s="42">
        <f>P139</f>
        <v/>
      </c>
      <c r="N140" s="43">
        <f>IF(M140&gt;0,M140*Plan!$D$25/100/12,0)</f>
        <v/>
      </c>
      <c r="O140" s="42">
        <f>IF(M140&lt;=0,0,MIN(M140+N140,Plan!$E$25+L140))</f>
        <v/>
      </c>
      <c r="P140" s="44">
        <f>MAX(0,M140+N140-O140)</f>
        <v/>
      </c>
      <c r="Q140" s="45">
        <f>L140-IF(M140&lt;=0,0,MAX(0,O140-Plan!$E$25))</f>
        <v/>
      </c>
      <c r="R140" s="42">
        <f>U139</f>
        <v/>
      </c>
      <c r="S140" s="43">
        <f>IF(R140&gt;0,R140*Plan!$D$26/100/12,0)</f>
        <v/>
      </c>
      <c r="T140" s="42">
        <f>IF(R140&lt;=0,0,MIN(R140+S140,Plan!$E$26+Q140))</f>
        <v/>
      </c>
      <c r="U140" s="44">
        <f>MAX(0,R140+S140-T140)</f>
        <v/>
      </c>
      <c r="V140" s="45">
        <f>Q140-IF(R140&lt;=0,0,MAX(0,T140-Plan!$E$26))</f>
        <v/>
      </c>
      <c r="W140" s="42">
        <f>Z139</f>
        <v/>
      </c>
      <c r="X140" s="43">
        <f>IF(W140&gt;0,W140*Plan!$D$27/100/12,0)</f>
        <v/>
      </c>
      <c r="Y140" s="42">
        <f>IF(W140&lt;=0,0,MIN(W140+X140,Plan!$E$27+V140))</f>
        <v/>
      </c>
      <c r="Z140" s="44">
        <f>MAX(0,W140+X140-Y140)</f>
        <v/>
      </c>
      <c r="AA140" s="45">
        <f>V140-IF(W140&lt;=0,0,MAX(0,Y140-Plan!$E$27))</f>
        <v/>
      </c>
      <c r="AB140" s="42">
        <f>AE139</f>
        <v/>
      </c>
      <c r="AC140" s="43">
        <f>IF(AB140&gt;0,AB140*Plan!$D$28/100/12,0)</f>
        <v/>
      </c>
      <c r="AD140" s="42">
        <f>IF(AB140&lt;=0,0,MIN(AB140+AC140,Plan!$E$28+AA140))</f>
        <v/>
      </c>
      <c r="AE140" s="44">
        <f>MAX(0,AB140+AC140-AD140)</f>
        <v/>
      </c>
      <c r="AF140" s="45">
        <f>AA140-IF(AB140&lt;=0,0,MAX(0,AD140-Plan!$E$28))</f>
        <v/>
      </c>
      <c r="AG140" s="44">
        <f>F140+K140+P140+U140+Z140+AE140</f>
        <v/>
      </c>
    </row>
    <row r="141">
      <c r="A141" s="46" t="n">
        <v>134</v>
      </c>
      <c r="B141" s="47">
        <f>EDATE(Plan!$C$18,133)</f>
        <v/>
      </c>
      <c r="C141" s="48">
        <f>F140</f>
        <v/>
      </c>
      <c r="D141" s="49">
        <f>IF(C141&gt;0,C141*Plan!$D$23/100/12,0)</f>
        <v/>
      </c>
      <c r="E141" s="48">
        <f>IF(C141&lt;=0,0,MIN(C141+D141,Plan!$E$23+(Plan!$C$17+IF(C141&lt;=0,Plan!$E$23,MAX(0,Plan!$E$23-(C141+D141)))+IF(H141&lt;=0,Plan!$E$24,MAX(0,Plan!$E$24-(H141+I141)))+IF(M141&lt;=0,Plan!$E$25,MAX(0,Plan!$E$25-(M141+N141)))+IF(R141&lt;=0,Plan!$E$26,MAX(0,Plan!$E$26-(R141+S141)))+IF(W141&lt;=0,Plan!$E$27,MAX(0,Plan!$E$27-(W141+X141)))+IF(AB141&lt;=0,Plan!$E$28,MAX(0,Plan!$E$28-(AB141+AC141))))))</f>
        <v/>
      </c>
      <c r="F141" s="50">
        <f>MAX(0,C141+D141-E141)</f>
        <v/>
      </c>
      <c r="G141" s="51">
        <f>(Plan!$C$17+IF(C141&lt;=0,Plan!$E$23,MAX(0,Plan!$E$23-(C141+D141)))+IF(H141&lt;=0,Plan!$E$24,MAX(0,Plan!$E$24-(H141+I141)))+IF(M141&lt;=0,Plan!$E$25,MAX(0,Plan!$E$25-(M141+N141)))+IF(R141&lt;=0,Plan!$E$26,MAX(0,Plan!$E$26-(R141+S141)))+IF(W141&lt;=0,Plan!$E$27,MAX(0,Plan!$E$27-(W141+X141)))+IF(AB141&lt;=0,Plan!$E$28,MAX(0,Plan!$E$28-(AB141+AC141))))-IF(C141&lt;=0,0,MAX(0,E141-Plan!$E$23))</f>
        <v/>
      </c>
      <c r="H141" s="48">
        <f>K140</f>
        <v/>
      </c>
      <c r="I141" s="49">
        <f>IF(H141&gt;0,H141*Plan!$D$24/100/12,0)</f>
        <v/>
      </c>
      <c r="J141" s="48">
        <f>IF(H141&lt;=0,0,MIN(H141+I141,Plan!$E$24+G141))</f>
        <v/>
      </c>
      <c r="K141" s="50">
        <f>MAX(0,H141+I141-J141)</f>
        <v/>
      </c>
      <c r="L141" s="51">
        <f>G141-IF(H141&lt;=0,0,MAX(0,J141-Plan!$E$24))</f>
        <v/>
      </c>
      <c r="M141" s="48">
        <f>P140</f>
        <v/>
      </c>
      <c r="N141" s="49">
        <f>IF(M141&gt;0,M141*Plan!$D$25/100/12,0)</f>
        <v/>
      </c>
      <c r="O141" s="48">
        <f>IF(M141&lt;=0,0,MIN(M141+N141,Plan!$E$25+L141))</f>
        <v/>
      </c>
      <c r="P141" s="50">
        <f>MAX(0,M141+N141-O141)</f>
        <v/>
      </c>
      <c r="Q141" s="51">
        <f>L141-IF(M141&lt;=0,0,MAX(0,O141-Plan!$E$25))</f>
        <v/>
      </c>
      <c r="R141" s="48">
        <f>U140</f>
        <v/>
      </c>
      <c r="S141" s="49">
        <f>IF(R141&gt;0,R141*Plan!$D$26/100/12,0)</f>
        <v/>
      </c>
      <c r="T141" s="48">
        <f>IF(R141&lt;=0,0,MIN(R141+S141,Plan!$E$26+Q141))</f>
        <v/>
      </c>
      <c r="U141" s="50">
        <f>MAX(0,R141+S141-T141)</f>
        <v/>
      </c>
      <c r="V141" s="51">
        <f>Q141-IF(R141&lt;=0,0,MAX(0,T141-Plan!$E$26))</f>
        <v/>
      </c>
      <c r="W141" s="48">
        <f>Z140</f>
        <v/>
      </c>
      <c r="X141" s="49">
        <f>IF(W141&gt;0,W141*Plan!$D$27/100/12,0)</f>
        <v/>
      </c>
      <c r="Y141" s="48">
        <f>IF(W141&lt;=0,0,MIN(W141+X141,Plan!$E$27+V141))</f>
        <v/>
      </c>
      <c r="Z141" s="50">
        <f>MAX(0,W141+X141-Y141)</f>
        <v/>
      </c>
      <c r="AA141" s="51">
        <f>V141-IF(W141&lt;=0,0,MAX(0,Y141-Plan!$E$27))</f>
        <v/>
      </c>
      <c r="AB141" s="48">
        <f>AE140</f>
        <v/>
      </c>
      <c r="AC141" s="49">
        <f>IF(AB141&gt;0,AB141*Plan!$D$28/100/12,0)</f>
        <v/>
      </c>
      <c r="AD141" s="48">
        <f>IF(AB141&lt;=0,0,MIN(AB141+AC141,Plan!$E$28+AA141))</f>
        <v/>
      </c>
      <c r="AE141" s="50">
        <f>MAX(0,AB141+AC141-AD141)</f>
        <v/>
      </c>
      <c r="AF141" s="51">
        <f>AA141-IF(AB141&lt;=0,0,MAX(0,AD141-Plan!$E$28))</f>
        <v/>
      </c>
      <c r="AG141" s="50">
        <f>F141+K141+P141+U141+Z141+AE141</f>
        <v/>
      </c>
    </row>
    <row r="142">
      <c r="A142" s="40" t="n">
        <v>135</v>
      </c>
      <c r="B142" s="41">
        <f>EDATE(Plan!$C$18,134)</f>
        <v/>
      </c>
      <c r="C142" s="42">
        <f>F141</f>
        <v/>
      </c>
      <c r="D142" s="43">
        <f>IF(C142&gt;0,C142*Plan!$D$23/100/12,0)</f>
        <v/>
      </c>
      <c r="E142" s="42">
        <f>IF(C142&lt;=0,0,MIN(C142+D142,Plan!$E$23+(Plan!$C$17+IF(C142&lt;=0,Plan!$E$23,MAX(0,Plan!$E$23-(C142+D142)))+IF(H142&lt;=0,Plan!$E$24,MAX(0,Plan!$E$24-(H142+I142)))+IF(M142&lt;=0,Plan!$E$25,MAX(0,Plan!$E$25-(M142+N142)))+IF(R142&lt;=0,Plan!$E$26,MAX(0,Plan!$E$26-(R142+S142)))+IF(W142&lt;=0,Plan!$E$27,MAX(0,Plan!$E$27-(W142+X142)))+IF(AB142&lt;=0,Plan!$E$28,MAX(0,Plan!$E$28-(AB142+AC142))))))</f>
        <v/>
      </c>
      <c r="F142" s="44">
        <f>MAX(0,C142+D142-E142)</f>
        <v/>
      </c>
      <c r="G142" s="45">
        <f>(Plan!$C$17+IF(C142&lt;=0,Plan!$E$23,MAX(0,Plan!$E$23-(C142+D142)))+IF(H142&lt;=0,Plan!$E$24,MAX(0,Plan!$E$24-(H142+I142)))+IF(M142&lt;=0,Plan!$E$25,MAX(0,Plan!$E$25-(M142+N142)))+IF(R142&lt;=0,Plan!$E$26,MAX(0,Plan!$E$26-(R142+S142)))+IF(W142&lt;=0,Plan!$E$27,MAX(0,Plan!$E$27-(W142+X142)))+IF(AB142&lt;=0,Plan!$E$28,MAX(0,Plan!$E$28-(AB142+AC142))))-IF(C142&lt;=0,0,MAX(0,E142-Plan!$E$23))</f>
        <v/>
      </c>
      <c r="H142" s="42">
        <f>K141</f>
        <v/>
      </c>
      <c r="I142" s="43">
        <f>IF(H142&gt;0,H142*Plan!$D$24/100/12,0)</f>
        <v/>
      </c>
      <c r="J142" s="42">
        <f>IF(H142&lt;=0,0,MIN(H142+I142,Plan!$E$24+G142))</f>
        <v/>
      </c>
      <c r="K142" s="44">
        <f>MAX(0,H142+I142-J142)</f>
        <v/>
      </c>
      <c r="L142" s="45">
        <f>G142-IF(H142&lt;=0,0,MAX(0,J142-Plan!$E$24))</f>
        <v/>
      </c>
      <c r="M142" s="42">
        <f>P141</f>
        <v/>
      </c>
      <c r="N142" s="43">
        <f>IF(M142&gt;0,M142*Plan!$D$25/100/12,0)</f>
        <v/>
      </c>
      <c r="O142" s="42">
        <f>IF(M142&lt;=0,0,MIN(M142+N142,Plan!$E$25+L142))</f>
        <v/>
      </c>
      <c r="P142" s="44">
        <f>MAX(0,M142+N142-O142)</f>
        <v/>
      </c>
      <c r="Q142" s="45">
        <f>L142-IF(M142&lt;=0,0,MAX(0,O142-Plan!$E$25))</f>
        <v/>
      </c>
      <c r="R142" s="42">
        <f>U141</f>
        <v/>
      </c>
      <c r="S142" s="43">
        <f>IF(R142&gt;0,R142*Plan!$D$26/100/12,0)</f>
        <v/>
      </c>
      <c r="T142" s="42">
        <f>IF(R142&lt;=0,0,MIN(R142+S142,Plan!$E$26+Q142))</f>
        <v/>
      </c>
      <c r="U142" s="44">
        <f>MAX(0,R142+S142-T142)</f>
        <v/>
      </c>
      <c r="V142" s="45">
        <f>Q142-IF(R142&lt;=0,0,MAX(0,T142-Plan!$E$26))</f>
        <v/>
      </c>
      <c r="W142" s="42">
        <f>Z141</f>
        <v/>
      </c>
      <c r="X142" s="43">
        <f>IF(W142&gt;0,W142*Plan!$D$27/100/12,0)</f>
        <v/>
      </c>
      <c r="Y142" s="42">
        <f>IF(W142&lt;=0,0,MIN(W142+X142,Plan!$E$27+V142))</f>
        <v/>
      </c>
      <c r="Z142" s="44">
        <f>MAX(0,W142+X142-Y142)</f>
        <v/>
      </c>
      <c r="AA142" s="45">
        <f>V142-IF(W142&lt;=0,0,MAX(0,Y142-Plan!$E$27))</f>
        <v/>
      </c>
      <c r="AB142" s="42">
        <f>AE141</f>
        <v/>
      </c>
      <c r="AC142" s="43">
        <f>IF(AB142&gt;0,AB142*Plan!$D$28/100/12,0)</f>
        <v/>
      </c>
      <c r="AD142" s="42">
        <f>IF(AB142&lt;=0,0,MIN(AB142+AC142,Plan!$E$28+AA142))</f>
        <v/>
      </c>
      <c r="AE142" s="44">
        <f>MAX(0,AB142+AC142-AD142)</f>
        <v/>
      </c>
      <c r="AF142" s="45">
        <f>AA142-IF(AB142&lt;=0,0,MAX(0,AD142-Plan!$E$28))</f>
        <v/>
      </c>
      <c r="AG142" s="44">
        <f>F142+K142+P142+U142+Z142+AE142</f>
        <v/>
      </c>
    </row>
    <row r="143">
      <c r="A143" s="46" t="n">
        <v>136</v>
      </c>
      <c r="B143" s="47">
        <f>EDATE(Plan!$C$18,135)</f>
        <v/>
      </c>
      <c r="C143" s="48">
        <f>F142</f>
        <v/>
      </c>
      <c r="D143" s="49">
        <f>IF(C143&gt;0,C143*Plan!$D$23/100/12,0)</f>
        <v/>
      </c>
      <c r="E143" s="48">
        <f>IF(C143&lt;=0,0,MIN(C143+D143,Plan!$E$23+(Plan!$C$17+IF(C143&lt;=0,Plan!$E$23,MAX(0,Plan!$E$23-(C143+D143)))+IF(H143&lt;=0,Plan!$E$24,MAX(0,Plan!$E$24-(H143+I143)))+IF(M143&lt;=0,Plan!$E$25,MAX(0,Plan!$E$25-(M143+N143)))+IF(R143&lt;=0,Plan!$E$26,MAX(0,Plan!$E$26-(R143+S143)))+IF(W143&lt;=0,Plan!$E$27,MAX(0,Plan!$E$27-(W143+X143)))+IF(AB143&lt;=0,Plan!$E$28,MAX(0,Plan!$E$28-(AB143+AC143))))))</f>
        <v/>
      </c>
      <c r="F143" s="50">
        <f>MAX(0,C143+D143-E143)</f>
        <v/>
      </c>
      <c r="G143" s="51">
        <f>(Plan!$C$17+IF(C143&lt;=0,Plan!$E$23,MAX(0,Plan!$E$23-(C143+D143)))+IF(H143&lt;=0,Plan!$E$24,MAX(0,Plan!$E$24-(H143+I143)))+IF(M143&lt;=0,Plan!$E$25,MAX(0,Plan!$E$25-(M143+N143)))+IF(R143&lt;=0,Plan!$E$26,MAX(0,Plan!$E$26-(R143+S143)))+IF(W143&lt;=0,Plan!$E$27,MAX(0,Plan!$E$27-(W143+X143)))+IF(AB143&lt;=0,Plan!$E$28,MAX(0,Plan!$E$28-(AB143+AC143))))-IF(C143&lt;=0,0,MAX(0,E143-Plan!$E$23))</f>
        <v/>
      </c>
      <c r="H143" s="48">
        <f>K142</f>
        <v/>
      </c>
      <c r="I143" s="49">
        <f>IF(H143&gt;0,H143*Plan!$D$24/100/12,0)</f>
        <v/>
      </c>
      <c r="J143" s="48">
        <f>IF(H143&lt;=0,0,MIN(H143+I143,Plan!$E$24+G143))</f>
        <v/>
      </c>
      <c r="K143" s="50">
        <f>MAX(0,H143+I143-J143)</f>
        <v/>
      </c>
      <c r="L143" s="51">
        <f>G143-IF(H143&lt;=0,0,MAX(0,J143-Plan!$E$24))</f>
        <v/>
      </c>
      <c r="M143" s="48">
        <f>P142</f>
        <v/>
      </c>
      <c r="N143" s="49">
        <f>IF(M143&gt;0,M143*Plan!$D$25/100/12,0)</f>
        <v/>
      </c>
      <c r="O143" s="48">
        <f>IF(M143&lt;=0,0,MIN(M143+N143,Plan!$E$25+L143))</f>
        <v/>
      </c>
      <c r="P143" s="50">
        <f>MAX(0,M143+N143-O143)</f>
        <v/>
      </c>
      <c r="Q143" s="51">
        <f>L143-IF(M143&lt;=0,0,MAX(0,O143-Plan!$E$25))</f>
        <v/>
      </c>
      <c r="R143" s="48">
        <f>U142</f>
        <v/>
      </c>
      <c r="S143" s="49">
        <f>IF(R143&gt;0,R143*Plan!$D$26/100/12,0)</f>
        <v/>
      </c>
      <c r="T143" s="48">
        <f>IF(R143&lt;=0,0,MIN(R143+S143,Plan!$E$26+Q143))</f>
        <v/>
      </c>
      <c r="U143" s="50">
        <f>MAX(0,R143+S143-T143)</f>
        <v/>
      </c>
      <c r="V143" s="51">
        <f>Q143-IF(R143&lt;=0,0,MAX(0,T143-Plan!$E$26))</f>
        <v/>
      </c>
      <c r="W143" s="48">
        <f>Z142</f>
        <v/>
      </c>
      <c r="X143" s="49">
        <f>IF(W143&gt;0,W143*Plan!$D$27/100/12,0)</f>
        <v/>
      </c>
      <c r="Y143" s="48">
        <f>IF(W143&lt;=0,0,MIN(W143+X143,Plan!$E$27+V143))</f>
        <v/>
      </c>
      <c r="Z143" s="50">
        <f>MAX(0,W143+X143-Y143)</f>
        <v/>
      </c>
      <c r="AA143" s="51">
        <f>V143-IF(W143&lt;=0,0,MAX(0,Y143-Plan!$E$27))</f>
        <v/>
      </c>
      <c r="AB143" s="48">
        <f>AE142</f>
        <v/>
      </c>
      <c r="AC143" s="49">
        <f>IF(AB143&gt;0,AB143*Plan!$D$28/100/12,0)</f>
        <v/>
      </c>
      <c r="AD143" s="48">
        <f>IF(AB143&lt;=0,0,MIN(AB143+AC143,Plan!$E$28+AA143))</f>
        <v/>
      </c>
      <c r="AE143" s="50">
        <f>MAX(0,AB143+AC143-AD143)</f>
        <v/>
      </c>
      <c r="AF143" s="51">
        <f>AA143-IF(AB143&lt;=0,0,MAX(0,AD143-Plan!$E$28))</f>
        <v/>
      </c>
      <c r="AG143" s="50">
        <f>F143+K143+P143+U143+Z143+AE143</f>
        <v/>
      </c>
    </row>
    <row r="144">
      <c r="A144" s="40" t="n">
        <v>137</v>
      </c>
      <c r="B144" s="41">
        <f>EDATE(Plan!$C$18,136)</f>
        <v/>
      </c>
      <c r="C144" s="42">
        <f>F143</f>
        <v/>
      </c>
      <c r="D144" s="43">
        <f>IF(C144&gt;0,C144*Plan!$D$23/100/12,0)</f>
        <v/>
      </c>
      <c r="E144" s="42">
        <f>IF(C144&lt;=0,0,MIN(C144+D144,Plan!$E$23+(Plan!$C$17+IF(C144&lt;=0,Plan!$E$23,MAX(0,Plan!$E$23-(C144+D144)))+IF(H144&lt;=0,Plan!$E$24,MAX(0,Plan!$E$24-(H144+I144)))+IF(M144&lt;=0,Plan!$E$25,MAX(0,Plan!$E$25-(M144+N144)))+IF(R144&lt;=0,Plan!$E$26,MAX(0,Plan!$E$26-(R144+S144)))+IF(W144&lt;=0,Plan!$E$27,MAX(0,Plan!$E$27-(W144+X144)))+IF(AB144&lt;=0,Plan!$E$28,MAX(0,Plan!$E$28-(AB144+AC144))))))</f>
        <v/>
      </c>
      <c r="F144" s="44">
        <f>MAX(0,C144+D144-E144)</f>
        <v/>
      </c>
      <c r="G144" s="45">
        <f>(Plan!$C$17+IF(C144&lt;=0,Plan!$E$23,MAX(0,Plan!$E$23-(C144+D144)))+IF(H144&lt;=0,Plan!$E$24,MAX(0,Plan!$E$24-(H144+I144)))+IF(M144&lt;=0,Plan!$E$25,MAX(0,Plan!$E$25-(M144+N144)))+IF(R144&lt;=0,Plan!$E$26,MAX(0,Plan!$E$26-(R144+S144)))+IF(W144&lt;=0,Plan!$E$27,MAX(0,Plan!$E$27-(W144+X144)))+IF(AB144&lt;=0,Plan!$E$28,MAX(0,Plan!$E$28-(AB144+AC144))))-IF(C144&lt;=0,0,MAX(0,E144-Plan!$E$23))</f>
        <v/>
      </c>
      <c r="H144" s="42">
        <f>K143</f>
        <v/>
      </c>
      <c r="I144" s="43">
        <f>IF(H144&gt;0,H144*Plan!$D$24/100/12,0)</f>
        <v/>
      </c>
      <c r="J144" s="42">
        <f>IF(H144&lt;=0,0,MIN(H144+I144,Plan!$E$24+G144))</f>
        <v/>
      </c>
      <c r="K144" s="44">
        <f>MAX(0,H144+I144-J144)</f>
        <v/>
      </c>
      <c r="L144" s="45">
        <f>G144-IF(H144&lt;=0,0,MAX(0,J144-Plan!$E$24))</f>
        <v/>
      </c>
      <c r="M144" s="42">
        <f>P143</f>
        <v/>
      </c>
      <c r="N144" s="43">
        <f>IF(M144&gt;0,M144*Plan!$D$25/100/12,0)</f>
        <v/>
      </c>
      <c r="O144" s="42">
        <f>IF(M144&lt;=0,0,MIN(M144+N144,Plan!$E$25+L144))</f>
        <v/>
      </c>
      <c r="P144" s="44">
        <f>MAX(0,M144+N144-O144)</f>
        <v/>
      </c>
      <c r="Q144" s="45">
        <f>L144-IF(M144&lt;=0,0,MAX(0,O144-Plan!$E$25))</f>
        <v/>
      </c>
      <c r="R144" s="42">
        <f>U143</f>
        <v/>
      </c>
      <c r="S144" s="43">
        <f>IF(R144&gt;0,R144*Plan!$D$26/100/12,0)</f>
        <v/>
      </c>
      <c r="T144" s="42">
        <f>IF(R144&lt;=0,0,MIN(R144+S144,Plan!$E$26+Q144))</f>
        <v/>
      </c>
      <c r="U144" s="44">
        <f>MAX(0,R144+S144-T144)</f>
        <v/>
      </c>
      <c r="V144" s="45">
        <f>Q144-IF(R144&lt;=0,0,MAX(0,T144-Plan!$E$26))</f>
        <v/>
      </c>
      <c r="W144" s="42">
        <f>Z143</f>
        <v/>
      </c>
      <c r="X144" s="43">
        <f>IF(W144&gt;0,W144*Plan!$D$27/100/12,0)</f>
        <v/>
      </c>
      <c r="Y144" s="42">
        <f>IF(W144&lt;=0,0,MIN(W144+X144,Plan!$E$27+V144))</f>
        <v/>
      </c>
      <c r="Z144" s="44">
        <f>MAX(0,W144+X144-Y144)</f>
        <v/>
      </c>
      <c r="AA144" s="45">
        <f>V144-IF(W144&lt;=0,0,MAX(0,Y144-Plan!$E$27))</f>
        <v/>
      </c>
      <c r="AB144" s="42">
        <f>AE143</f>
        <v/>
      </c>
      <c r="AC144" s="43">
        <f>IF(AB144&gt;0,AB144*Plan!$D$28/100/12,0)</f>
        <v/>
      </c>
      <c r="AD144" s="42">
        <f>IF(AB144&lt;=0,0,MIN(AB144+AC144,Plan!$E$28+AA144))</f>
        <v/>
      </c>
      <c r="AE144" s="44">
        <f>MAX(0,AB144+AC144-AD144)</f>
        <v/>
      </c>
      <c r="AF144" s="45">
        <f>AA144-IF(AB144&lt;=0,0,MAX(0,AD144-Plan!$E$28))</f>
        <v/>
      </c>
      <c r="AG144" s="44">
        <f>F144+K144+P144+U144+Z144+AE144</f>
        <v/>
      </c>
    </row>
    <row r="145">
      <c r="A145" s="46" t="n">
        <v>138</v>
      </c>
      <c r="B145" s="47">
        <f>EDATE(Plan!$C$18,137)</f>
        <v/>
      </c>
      <c r="C145" s="48">
        <f>F144</f>
        <v/>
      </c>
      <c r="D145" s="49">
        <f>IF(C145&gt;0,C145*Plan!$D$23/100/12,0)</f>
        <v/>
      </c>
      <c r="E145" s="48">
        <f>IF(C145&lt;=0,0,MIN(C145+D145,Plan!$E$23+(Plan!$C$17+IF(C145&lt;=0,Plan!$E$23,MAX(0,Plan!$E$23-(C145+D145)))+IF(H145&lt;=0,Plan!$E$24,MAX(0,Plan!$E$24-(H145+I145)))+IF(M145&lt;=0,Plan!$E$25,MAX(0,Plan!$E$25-(M145+N145)))+IF(R145&lt;=0,Plan!$E$26,MAX(0,Plan!$E$26-(R145+S145)))+IF(W145&lt;=0,Plan!$E$27,MAX(0,Plan!$E$27-(W145+X145)))+IF(AB145&lt;=0,Plan!$E$28,MAX(0,Plan!$E$28-(AB145+AC145))))))</f>
        <v/>
      </c>
      <c r="F145" s="50">
        <f>MAX(0,C145+D145-E145)</f>
        <v/>
      </c>
      <c r="G145" s="51">
        <f>(Plan!$C$17+IF(C145&lt;=0,Plan!$E$23,MAX(0,Plan!$E$23-(C145+D145)))+IF(H145&lt;=0,Plan!$E$24,MAX(0,Plan!$E$24-(H145+I145)))+IF(M145&lt;=0,Plan!$E$25,MAX(0,Plan!$E$25-(M145+N145)))+IF(R145&lt;=0,Plan!$E$26,MAX(0,Plan!$E$26-(R145+S145)))+IF(W145&lt;=0,Plan!$E$27,MAX(0,Plan!$E$27-(W145+X145)))+IF(AB145&lt;=0,Plan!$E$28,MAX(0,Plan!$E$28-(AB145+AC145))))-IF(C145&lt;=0,0,MAX(0,E145-Plan!$E$23))</f>
        <v/>
      </c>
      <c r="H145" s="48">
        <f>K144</f>
        <v/>
      </c>
      <c r="I145" s="49">
        <f>IF(H145&gt;0,H145*Plan!$D$24/100/12,0)</f>
        <v/>
      </c>
      <c r="J145" s="48">
        <f>IF(H145&lt;=0,0,MIN(H145+I145,Plan!$E$24+G145))</f>
        <v/>
      </c>
      <c r="K145" s="50">
        <f>MAX(0,H145+I145-J145)</f>
        <v/>
      </c>
      <c r="L145" s="51">
        <f>G145-IF(H145&lt;=0,0,MAX(0,J145-Plan!$E$24))</f>
        <v/>
      </c>
      <c r="M145" s="48">
        <f>P144</f>
        <v/>
      </c>
      <c r="N145" s="49">
        <f>IF(M145&gt;0,M145*Plan!$D$25/100/12,0)</f>
        <v/>
      </c>
      <c r="O145" s="48">
        <f>IF(M145&lt;=0,0,MIN(M145+N145,Plan!$E$25+L145))</f>
        <v/>
      </c>
      <c r="P145" s="50">
        <f>MAX(0,M145+N145-O145)</f>
        <v/>
      </c>
      <c r="Q145" s="51">
        <f>L145-IF(M145&lt;=0,0,MAX(0,O145-Plan!$E$25))</f>
        <v/>
      </c>
      <c r="R145" s="48">
        <f>U144</f>
        <v/>
      </c>
      <c r="S145" s="49">
        <f>IF(R145&gt;0,R145*Plan!$D$26/100/12,0)</f>
        <v/>
      </c>
      <c r="T145" s="48">
        <f>IF(R145&lt;=0,0,MIN(R145+S145,Plan!$E$26+Q145))</f>
        <v/>
      </c>
      <c r="U145" s="50">
        <f>MAX(0,R145+S145-T145)</f>
        <v/>
      </c>
      <c r="V145" s="51">
        <f>Q145-IF(R145&lt;=0,0,MAX(0,T145-Plan!$E$26))</f>
        <v/>
      </c>
      <c r="W145" s="48">
        <f>Z144</f>
        <v/>
      </c>
      <c r="X145" s="49">
        <f>IF(W145&gt;0,W145*Plan!$D$27/100/12,0)</f>
        <v/>
      </c>
      <c r="Y145" s="48">
        <f>IF(W145&lt;=0,0,MIN(W145+X145,Plan!$E$27+V145))</f>
        <v/>
      </c>
      <c r="Z145" s="50">
        <f>MAX(0,W145+X145-Y145)</f>
        <v/>
      </c>
      <c r="AA145" s="51">
        <f>V145-IF(W145&lt;=0,0,MAX(0,Y145-Plan!$E$27))</f>
        <v/>
      </c>
      <c r="AB145" s="48">
        <f>AE144</f>
        <v/>
      </c>
      <c r="AC145" s="49">
        <f>IF(AB145&gt;0,AB145*Plan!$D$28/100/12,0)</f>
        <v/>
      </c>
      <c r="AD145" s="48">
        <f>IF(AB145&lt;=0,0,MIN(AB145+AC145,Plan!$E$28+AA145))</f>
        <v/>
      </c>
      <c r="AE145" s="50">
        <f>MAX(0,AB145+AC145-AD145)</f>
        <v/>
      </c>
      <c r="AF145" s="51">
        <f>AA145-IF(AB145&lt;=0,0,MAX(0,AD145-Plan!$E$28))</f>
        <v/>
      </c>
      <c r="AG145" s="50">
        <f>F145+K145+P145+U145+Z145+AE145</f>
        <v/>
      </c>
    </row>
    <row r="146">
      <c r="A146" s="40" t="n">
        <v>139</v>
      </c>
      <c r="B146" s="41">
        <f>EDATE(Plan!$C$18,138)</f>
        <v/>
      </c>
      <c r="C146" s="42">
        <f>F145</f>
        <v/>
      </c>
      <c r="D146" s="43">
        <f>IF(C146&gt;0,C146*Plan!$D$23/100/12,0)</f>
        <v/>
      </c>
      <c r="E146" s="42">
        <f>IF(C146&lt;=0,0,MIN(C146+D146,Plan!$E$23+(Plan!$C$17+IF(C146&lt;=0,Plan!$E$23,MAX(0,Plan!$E$23-(C146+D146)))+IF(H146&lt;=0,Plan!$E$24,MAX(0,Plan!$E$24-(H146+I146)))+IF(M146&lt;=0,Plan!$E$25,MAX(0,Plan!$E$25-(M146+N146)))+IF(R146&lt;=0,Plan!$E$26,MAX(0,Plan!$E$26-(R146+S146)))+IF(W146&lt;=0,Plan!$E$27,MAX(0,Plan!$E$27-(W146+X146)))+IF(AB146&lt;=0,Plan!$E$28,MAX(0,Plan!$E$28-(AB146+AC146))))))</f>
        <v/>
      </c>
      <c r="F146" s="44">
        <f>MAX(0,C146+D146-E146)</f>
        <v/>
      </c>
      <c r="G146" s="45">
        <f>(Plan!$C$17+IF(C146&lt;=0,Plan!$E$23,MAX(0,Plan!$E$23-(C146+D146)))+IF(H146&lt;=0,Plan!$E$24,MAX(0,Plan!$E$24-(H146+I146)))+IF(M146&lt;=0,Plan!$E$25,MAX(0,Plan!$E$25-(M146+N146)))+IF(R146&lt;=0,Plan!$E$26,MAX(0,Plan!$E$26-(R146+S146)))+IF(W146&lt;=0,Plan!$E$27,MAX(0,Plan!$E$27-(W146+X146)))+IF(AB146&lt;=0,Plan!$E$28,MAX(0,Plan!$E$28-(AB146+AC146))))-IF(C146&lt;=0,0,MAX(0,E146-Plan!$E$23))</f>
        <v/>
      </c>
      <c r="H146" s="42">
        <f>K145</f>
        <v/>
      </c>
      <c r="I146" s="43">
        <f>IF(H146&gt;0,H146*Plan!$D$24/100/12,0)</f>
        <v/>
      </c>
      <c r="J146" s="42">
        <f>IF(H146&lt;=0,0,MIN(H146+I146,Plan!$E$24+G146))</f>
        <v/>
      </c>
      <c r="K146" s="44">
        <f>MAX(0,H146+I146-J146)</f>
        <v/>
      </c>
      <c r="L146" s="45">
        <f>G146-IF(H146&lt;=0,0,MAX(0,J146-Plan!$E$24))</f>
        <v/>
      </c>
      <c r="M146" s="42">
        <f>P145</f>
        <v/>
      </c>
      <c r="N146" s="43">
        <f>IF(M146&gt;0,M146*Plan!$D$25/100/12,0)</f>
        <v/>
      </c>
      <c r="O146" s="42">
        <f>IF(M146&lt;=0,0,MIN(M146+N146,Plan!$E$25+L146))</f>
        <v/>
      </c>
      <c r="P146" s="44">
        <f>MAX(0,M146+N146-O146)</f>
        <v/>
      </c>
      <c r="Q146" s="45">
        <f>L146-IF(M146&lt;=0,0,MAX(0,O146-Plan!$E$25))</f>
        <v/>
      </c>
      <c r="R146" s="42">
        <f>U145</f>
        <v/>
      </c>
      <c r="S146" s="43">
        <f>IF(R146&gt;0,R146*Plan!$D$26/100/12,0)</f>
        <v/>
      </c>
      <c r="T146" s="42">
        <f>IF(R146&lt;=0,0,MIN(R146+S146,Plan!$E$26+Q146))</f>
        <v/>
      </c>
      <c r="U146" s="44">
        <f>MAX(0,R146+S146-T146)</f>
        <v/>
      </c>
      <c r="V146" s="45">
        <f>Q146-IF(R146&lt;=0,0,MAX(0,T146-Plan!$E$26))</f>
        <v/>
      </c>
      <c r="W146" s="42">
        <f>Z145</f>
        <v/>
      </c>
      <c r="X146" s="43">
        <f>IF(W146&gt;0,W146*Plan!$D$27/100/12,0)</f>
        <v/>
      </c>
      <c r="Y146" s="42">
        <f>IF(W146&lt;=0,0,MIN(W146+X146,Plan!$E$27+V146))</f>
        <v/>
      </c>
      <c r="Z146" s="44">
        <f>MAX(0,W146+X146-Y146)</f>
        <v/>
      </c>
      <c r="AA146" s="45">
        <f>V146-IF(W146&lt;=0,0,MAX(0,Y146-Plan!$E$27))</f>
        <v/>
      </c>
      <c r="AB146" s="42">
        <f>AE145</f>
        <v/>
      </c>
      <c r="AC146" s="43">
        <f>IF(AB146&gt;0,AB146*Plan!$D$28/100/12,0)</f>
        <v/>
      </c>
      <c r="AD146" s="42">
        <f>IF(AB146&lt;=0,0,MIN(AB146+AC146,Plan!$E$28+AA146))</f>
        <v/>
      </c>
      <c r="AE146" s="44">
        <f>MAX(0,AB146+AC146-AD146)</f>
        <v/>
      </c>
      <c r="AF146" s="45">
        <f>AA146-IF(AB146&lt;=0,0,MAX(0,AD146-Plan!$E$28))</f>
        <v/>
      </c>
      <c r="AG146" s="44">
        <f>F146+K146+P146+U146+Z146+AE146</f>
        <v/>
      </c>
    </row>
    <row r="147">
      <c r="A147" s="46" t="n">
        <v>140</v>
      </c>
      <c r="B147" s="47">
        <f>EDATE(Plan!$C$18,139)</f>
        <v/>
      </c>
      <c r="C147" s="48">
        <f>F146</f>
        <v/>
      </c>
      <c r="D147" s="49">
        <f>IF(C147&gt;0,C147*Plan!$D$23/100/12,0)</f>
        <v/>
      </c>
      <c r="E147" s="48">
        <f>IF(C147&lt;=0,0,MIN(C147+D147,Plan!$E$23+(Plan!$C$17+IF(C147&lt;=0,Plan!$E$23,MAX(0,Plan!$E$23-(C147+D147)))+IF(H147&lt;=0,Plan!$E$24,MAX(0,Plan!$E$24-(H147+I147)))+IF(M147&lt;=0,Plan!$E$25,MAX(0,Plan!$E$25-(M147+N147)))+IF(R147&lt;=0,Plan!$E$26,MAX(0,Plan!$E$26-(R147+S147)))+IF(W147&lt;=0,Plan!$E$27,MAX(0,Plan!$E$27-(W147+X147)))+IF(AB147&lt;=0,Plan!$E$28,MAX(0,Plan!$E$28-(AB147+AC147))))))</f>
        <v/>
      </c>
      <c r="F147" s="50">
        <f>MAX(0,C147+D147-E147)</f>
        <v/>
      </c>
      <c r="G147" s="51">
        <f>(Plan!$C$17+IF(C147&lt;=0,Plan!$E$23,MAX(0,Plan!$E$23-(C147+D147)))+IF(H147&lt;=0,Plan!$E$24,MAX(0,Plan!$E$24-(H147+I147)))+IF(M147&lt;=0,Plan!$E$25,MAX(0,Plan!$E$25-(M147+N147)))+IF(R147&lt;=0,Plan!$E$26,MAX(0,Plan!$E$26-(R147+S147)))+IF(W147&lt;=0,Plan!$E$27,MAX(0,Plan!$E$27-(W147+X147)))+IF(AB147&lt;=0,Plan!$E$28,MAX(0,Plan!$E$28-(AB147+AC147))))-IF(C147&lt;=0,0,MAX(0,E147-Plan!$E$23))</f>
        <v/>
      </c>
      <c r="H147" s="48">
        <f>K146</f>
        <v/>
      </c>
      <c r="I147" s="49">
        <f>IF(H147&gt;0,H147*Plan!$D$24/100/12,0)</f>
        <v/>
      </c>
      <c r="J147" s="48">
        <f>IF(H147&lt;=0,0,MIN(H147+I147,Plan!$E$24+G147))</f>
        <v/>
      </c>
      <c r="K147" s="50">
        <f>MAX(0,H147+I147-J147)</f>
        <v/>
      </c>
      <c r="L147" s="51">
        <f>G147-IF(H147&lt;=0,0,MAX(0,J147-Plan!$E$24))</f>
        <v/>
      </c>
      <c r="M147" s="48">
        <f>P146</f>
        <v/>
      </c>
      <c r="N147" s="49">
        <f>IF(M147&gt;0,M147*Plan!$D$25/100/12,0)</f>
        <v/>
      </c>
      <c r="O147" s="48">
        <f>IF(M147&lt;=0,0,MIN(M147+N147,Plan!$E$25+L147))</f>
        <v/>
      </c>
      <c r="P147" s="50">
        <f>MAX(0,M147+N147-O147)</f>
        <v/>
      </c>
      <c r="Q147" s="51">
        <f>L147-IF(M147&lt;=0,0,MAX(0,O147-Plan!$E$25))</f>
        <v/>
      </c>
      <c r="R147" s="48">
        <f>U146</f>
        <v/>
      </c>
      <c r="S147" s="49">
        <f>IF(R147&gt;0,R147*Plan!$D$26/100/12,0)</f>
        <v/>
      </c>
      <c r="T147" s="48">
        <f>IF(R147&lt;=0,0,MIN(R147+S147,Plan!$E$26+Q147))</f>
        <v/>
      </c>
      <c r="U147" s="50">
        <f>MAX(0,R147+S147-T147)</f>
        <v/>
      </c>
      <c r="V147" s="51">
        <f>Q147-IF(R147&lt;=0,0,MAX(0,T147-Plan!$E$26))</f>
        <v/>
      </c>
      <c r="W147" s="48">
        <f>Z146</f>
        <v/>
      </c>
      <c r="X147" s="49">
        <f>IF(W147&gt;0,W147*Plan!$D$27/100/12,0)</f>
        <v/>
      </c>
      <c r="Y147" s="48">
        <f>IF(W147&lt;=0,0,MIN(W147+X147,Plan!$E$27+V147))</f>
        <v/>
      </c>
      <c r="Z147" s="50">
        <f>MAX(0,W147+X147-Y147)</f>
        <v/>
      </c>
      <c r="AA147" s="51">
        <f>V147-IF(W147&lt;=0,0,MAX(0,Y147-Plan!$E$27))</f>
        <v/>
      </c>
      <c r="AB147" s="48">
        <f>AE146</f>
        <v/>
      </c>
      <c r="AC147" s="49">
        <f>IF(AB147&gt;0,AB147*Plan!$D$28/100/12,0)</f>
        <v/>
      </c>
      <c r="AD147" s="48">
        <f>IF(AB147&lt;=0,0,MIN(AB147+AC147,Plan!$E$28+AA147))</f>
        <v/>
      </c>
      <c r="AE147" s="50">
        <f>MAX(0,AB147+AC147-AD147)</f>
        <v/>
      </c>
      <c r="AF147" s="51">
        <f>AA147-IF(AB147&lt;=0,0,MAX(0,AD147-Plan!$E$28))</f>
        <v/>
      </c>
      <c r="AG147" s="50">
        <f>F147+K147+P147+U147+Z147+AE147</f>
        <v/>
      </c>
    </row>
    <row r="148">
      <c r="A148" s="40" t="n">
        <v>141</v>
      </c>
      <c r="B148" s="41">
        <f>EDATE(Plan!$C$18,140)</f>
        <v/>
      </c>
      <c r="C148" s="42">
        <f>F147</f>
        <v/>
      </c>
      <c r="D148" s="43">
        <f>IF(C148&gt;0,C148*Plan!$D$23/100/12,0)</f>
        <v/>
      </c>
      <c r="E148" s="42">
        <f>IF(C148&lt;=0,0,MIN(C148+D148,Plan!$E$23+(Plan!$C$17+IF(C148&lt;=0,Plan!$E$23,MAX(0,Plan!$E$23-(C148+D148)))+IF(H148&lt;=0,Plan!$E$24,MAX(0,Plan!$E$24-(H148+I148)))+IF(M148&lt;=0,Plan!$E$25,MAX(0,Plan!$E$25-(M148+N148)))+IF(R148&lt;=0,Plan!$E$26,MAX(0,Plan!$E$26-(R148+S148)))+IF(W148&lt;=0,Plan!$E$27,MAX(0,Plan!$E$27-(W148+X148)))+IF(AB148&lt;=0,Plan!$E$28,MAX(0,Plan!$E$28-(AB148+AC148))))))</f>
        <v/>
      </c>
      <c r="F148" s="44">
        <f>MAX(0,C148+D148-E148)</f>
        <v/>
      </c>
      <c r="G148" s="45">
        <f>(Plan!$C$17+IF(C148&lt;=0,Plan!$E$23,MAX(0,Plan!$E$23-(C148+D148)))+IF(H148&lt;=0,Plan!$E$24,MAX(0,Plan!$E$24-(H148+I148)))+IF(M148&lt;=0,Plan!$E$25,MAX(0,Plan!$E$25-(M148+N148)))+IF(R148&lt;=0,Plan!$E$26,MAX(0,Plan!$E$26-(R148+S148)))+IF(W148&lt;=0,Plan!$E$27,MAX(0,Plan!$E$27-(W148+X148)))+IF(AB148&lt;=0,Plan!$E$28,MAX(0,Plan!$E$28-(AB148+AC148))))-IF(C148&lt;=0,0,MAX(0,E148-Plan!$E$23))</f>
        <v/>
      </c>
      <c r="H148" s="42">
        <f>K147</f>
        <v/>
      </c>
      <c r="I148" s="43">
        <f>IF(H148&gt;0,H148*Plan!$D$24/100/12,0)</f>
        <v/>
      </c>
      <c r="J148" s="42">
        <f>IF(H148&lt;=0,0,MIN(H148+I148,Plan!$E$24+G148))</f>
        <v/>
      </c>
      <c r="K148" s="44">
        <f>MAX(0,H148+I148-J148)</f>
        <v/>
      </c>
      <c r="L148" s="45">
        <f>G148-IF(H148&lt;=0,0,MAX(0,J148-Plan!$E$24))</f>
        <v/>
      </c>
      <c r="M148" s="42">
        <f>P147</f>
        <v/>
      </c>
      <c r="N148" s="43">
        <f>IF(M148&gt;0,M148*Plan!$D$25/100/12,0)</f>
        <v/>
      </c>
      <c r="O148" s="42">
        <f>IF(M148&lt;=0,0,MIN(M148+N148,Plan!$E$25+L148))</f>
        <v/>
      </c>
      <c r="P148" s="44">
        <f>MAX(0,M148+N148-O148)</f>
        <v/>
      </c>
      <c r="Q148" s="45">
        <f>L148-IF(M148&lt;=0,0,MAX(0,O148-Plan!$E$25))</f>
        <v/>
      </c>
      <c r="R148" s="42">
        <f>U147</f>
        <v/>
      </c>
      <c r="S148" s="43">
        <f>IF(R148&gt;0,R148*Plan!$D$26/100/12,0)</f>
        <v/>
      </c>
      <c r="T148" s="42">
        <f>IF(R148&lt;=0,0,MIN(R148+S148,Plan!$E$26+Q148))</f>
        <v/>
      </c>
      <c r="U148" s="44">
        <f>MAX(0,R148+S148-T148)</f>
        <v/>
      </c>
      <c r="V148" s="45">
        <f>Q148-IF(R148&lt;=0,0,MAX(0,T148-Plan!$E$26))</f>
        <v/>
      </c>
      <c r="W148" s="42">
        <f>Z147</f>
        <v/>
      </c>
      <c r="X148" s="43">
        <f>IF(W148&gt;0,W148*Plan!$D$27/100/12,0)</f>
        <v/>
      </c>
      <c r="Y148" s="42">
        <f>IF(W148&lt;=0,0,MIN(W148+X148,Plan!$E$27+V148))</f>
        <v/>
      </c>
      <c r="Z148" s="44">
        <f>MAX(0,W148+X148-Y148)</f>
        <v/>
      </c>
      <c r="AA148" s="45">
        <f>V148-IF(W148&lt;=0,0,MAX(0,Y148-Plan!$E$27))</f>
        <v/>
      </c>
      <c r="AB148" s="42">
        <f>AE147</f>
        <v/>
      </c>
      <c r="AC148" s="43">
        <f>IF(AB148&gt;0,AB148*Plan!$D$28/100/12,0)</f>
        <v/>
      </c>
      <c r="AD148" s="42">
        <f>IF(AB148&lt;=0,0,MIN(AB148+AC148,Plan!$E$28+AA148))</f>
        <v/>
      </c>
      <c r="AE148" s="44">
        <f>MAX(0,AB148+AC148-AD148)</f>
        <v/>
      </c>
      <c r="AF148" s="45">
        <f>AA148-IF(AB148&lt;=0,0,MAX(0,AD148-Plan!$E$28))</f>
        <v/>
      </c>
      <c r="AG148" s="44">
        <f>F148+K148+P148+U148+Z148+AE148</f>
        <v/>
      </c>
    </row>
    <row r="149">
      <c r="A149" s="46" t="n">
        <v>142</v>
      </c>
      <c r="B149" s="47">
        <f>EDATE(Plan!$C$18,141)</f>
        <v/>
      </c>
      <c r="C149" s="48">
        <f>F148</f>
        <v/>
      </c>
      <c r="D149" s="49">
        <f>IF(C149&gt;0,C149*Plan!$D$23/100/12,0)</f>
        <v/>
      </c>
      <c r="E149" s="48">
        <f>IF(C149&lt;=0,0,MIN(C149+D149,Plan!$E$23+(Plan!$C$17+IF(C149&lt;=0,Plan!$E$23,MAX(0,Plan!$E$23-(C149+D149)))+IF(H149&lt;=0,Plan!$E$24,MAX(0,Plan!$E$24-(H149+I149)))+IF(M149&lt;=0,Plan!$E$25,MAX(0,Plan!$E$25-(M149+N149)))+IF(R149&lt;=0,Plan!$E$26,MAX(0,Plan!$E$26-(R149+S149)))+IF(W149&lt;=0,Plan!$E$27,MAX(0,Plan!$E$27-(W149+X149)))+IF(AB149&lt;=0,Plan!$E$28,MAX(0,Plan!$E$28-(AB149+AC149))))))</f>
        <v/>
      </c>
      <c r="F149" s="50">
        <f>MAX(0,C149+D149-E149)</f>
        <v/>
      </c>
      <c r="G149" s="51">
        <f>(Plan!$C$17+IF(C149&lt;=0,Plan!$E$23,MAX(0,Plan!$E$23-(C149+D149)))+IF(H149&lt;=0,Plan!$E$24,MAX(0,Plan!$E$24-(H149+I149)))+IF(M149&lt;=0,Plan!$E$25,MAX(0,Plan!$E$25-(M149+N149)))+IF(R149&lt;=0,Plan!$E$26,MAX(0,Plan!$E$26-(R149+S149)))+IF(W149&lt;=0,Plan!$E$27,MAX(0,Plan!$E$27-(W149+X149)))+IF(AB149&lt;=0,Plan!$E$28,MAX(0,Plan!$E$28-(AB149+AC149))))-IF(C149&lt;=0,0,MAX(0,E149-Plan!$E$23))</f>
        <v/>
      </c>
      <c r="H149" s="48">
        <f>K148</f>
        <v/>
      </c>
      <c r="I149" s="49">
        <f>IF(H149&gt;0,H149*Plan!$D$24/100/12,0)</f>
        <v/>
      </c>
      <c r="J149" s="48">
        <f>IF(H149&lt;=0,0,MIN(H149+I149,Plan!$E$24+G149))</f>
        <v/>
      </c>
      <c r="K149" s="50">
        <f>MAX(0,H149+I149-J149)</f>
        <v/>
      </c>
      <c r="L149" s="51">
        <f>G149-IF(H149&lt;=0,0,MAX(0,J149-Plan!$E$24))</f>
        <v/>
      </c>
      <c r="M149" s="48">
        <f>P148</f>
        <v/>
      </c>
      <c r="N149" s="49">
        <f>IF(M149&gt;0,M149*Plan!$D$25/100/12,0)</f>
        <v/>
      </c>
      <c r="O149" s="48">
        <f>IF(M149&lt;=0,0,MIN(M149+N149,Plan!$E$25+L149))</f>
        <v/>
      </c>
      <c r="P149" s="50">
        <f>MAX(0,M149+N149-O149)</f>
        <v/>
      </c>
      <c r="Q149" s="51">
        <f>L149-IF(M149&lt;=0,0,MAX(0,O149-Plan!$E$25))</f>
        <v/>
      </c>
      <c r="R149" s="48">
        <f>U148</f>
        <v/>
      </c>
      <c r="S149" s="49">
        <f>IF(R149&gt;0,R149*Plan!$D$26/100/12,0)</f>
        <v/>
      </c>
      <c r="T149" s="48">
        <f>IF(R149&lt;=0,0,MIN(R149+S149,Plan!$E$26+Q149))</f>
        <v/>
      </c>
      <c r="U149" s="50">
        <f>MAX(0,R149+S149-T149)</f>
        <v/>
      </c>
      <c r="V149" s="51">
        <f>Q149-IF(R149&lt;=0,0,MAX(0,T149-Plan!$E$26))</f>
        <v/>
      </c>
      <c r="W149" s="48">
        <f>Z148</f>
        <v/>
      </c>
      <c r="X149" s="49">
        <f>IF(W149&gt;0,W149*Plan!$D$27/100/12,0)</f>
        <v/>
      </c>
      <c r="Y149" s="48">
        <f>IF(W149&lt;=0,0,MIN(W149+X149,Plan!$E$27+V149))</f>
        <v/>
      </c>
      <c r="Z149" s="50">
        <f>MAX(0,W149+X149-Y149)</f>
        <v/>
      </c>
      <c r="AA149" s="51">
        <f>V149-IF(W149&lt;=0,0,MAX(0,Y149-Plan!$E$27))</f>
        <v/>
      </c>
      <c r="AB149" s="48">
        <f>AE148</f>
        <v/>
      </c>
      <c r="AC149" s="49">
        <f>IF(AB149&gt;0,AB149*Plan!$D$28/100/12,0)</f>
        <v/>
      </c>
      <c r="AD149" s="48">
        <f>IF(AB149&lt;=0,0,MIN(AB149+AC149,Plan!$E$28+AA149))</f>
        <v/>
      </c>
      <c r="AE149" s="50">
        <f>MAX(0,AB149+AC149-AD149)</f>
        <v/>
      </c>
      <c r="AF149" s="51">
        <f>AA149-IF(AB149&lt;=0,0,MAX(0,AD149-Plan!$E$28))</f>
        <v/>
      </c>
      <c r="AG149" s="50">
        <f>F149+K149+P149+U149+Z149+AE149</f>
        <v/>
      </c>
    </row>
    <row r="150">
      <c r="A150" s="40" t="n">
        <v>143</v>
      </c>
      <c r="B150" s="41">
        <f>EDATE(Plan!$C$18,142)</f>
        <v/>
      </c>
      <c r="C150" s="42">
        <f>F149</f>
        <v/>
      </c>
      <c r="D150" s="43">
        <f>IF(C150&gt;0,C150*Plan!$D$23/100/12,0)</f>
        <v/>
      </c>
      <c r="E150" s="42">
        <f>IF(C150&lt;=0,0,MIN(C150+D150,Plan!$E$23+(Plan!$C$17+IF(C150&lt;=0,Plan!$E$23,MAX(0,Plan!$E$23-(C150+D150)))+IF(H150&lt;=0,Plan!$E$24,MAX(0,Plan!$E$24-(H150+I150)))+IF(M150&lt;=0,Plan!$E$25,MAX(0,Plan!$E$25-(M150+N150)))+IF(R150&lt;=0,Plan!$E$26,MAX(0,Plan!$E$26-(R150+S150)))+IF(W150&lt;=0,Plan!$E$27,MAX(0,Plan!$E$27-(W150+X150)))+IF(AB150&lt;=0,Plan!$E$28,MAX(0,Plan!$E$28-(AB150+AC150))))))</f>
        <v/>
      </c>
      <c r="F150" s="44">
        <f>MAX(0,C150+D150-E150)</f>
        <v/>
      </c>
      <c r="G150" s="45">
        <f>(Plan!$C$17+IF(C150&lt;=0,Plan!$E$23,MAX(0,Plan!$E$23-(C150+D150)))+IF(H150&lt;=0,Plan!$E$24,MAX(0,Plan!$E$24-(H150+I150)))+IF(M150&lt;=0,Plan!$E$25,MAX(0,Plan!$E$25-(M150+N150)))+IF(R150&lt;=0,Plan!$E$26,MAX(0,Plan!$E$26-(R150+S150)))+IF(W150&lt;=0,Plan!$E$27,MAX(0,Plan!$E$27-(W150+X150)))+IF(AB150&lt;=0,Plan!$E$28,MAX(0,Plan!$E$28-(AB150+AC150))))-IF(C150&lt;=0,0,MAX(0,E150-Plan!$E$23))</f>
        <v/>
      </c>
      <c r="H150" s="42">
        <f>K149</f>
        <v/>
      </c>
      <c r="I150" s="43">
        <f>IF(H150&gt;0,H150*Plan!$D$24/100/12,0)</f>
        <v/>
      </c>
      <c r="J150" s="42">
        <f>IF(H150&lt;=0,0,MIN(H150+I150,Plan!$E$24+G150))</f>
        <v/>
      </c>
      <c r="K150" s="44">
        <f>MAX(0,H150+I150-J150)</f>
        <v/>
      </c>
      <c r="L150" s="45">
        <f>G150-IF(H150&lt;=0,0,MAX(0,J150-Plan!$E$24))</f>
        <v/>
      </c>
      <c r="M150" s="42">
        <f>P149</f>
        <v/>
      </c>
      <c r="N150" s="43">
        <f>IF(M150&gt;0,M150*Plan!$D$25/100/12,0)</f>
        <v/>
      </c>
      <c r="O150" s="42">
        <f>IF(M150&lt;=0,0,MIN(M150+N150,Plan!$E$25+L150))</f>
        <v/>
      </c>
      <c r="P150" s="44">
        <f>MAX(0,M150+N150-O150)</f>
        <v/>
      </c>
      <c r="Q150" s="45">
        <f>L150-IF(M150&lt;=0,0,MAX(0,O150-Plan!$E$25))</f>
        <v/>
      </c>
      <c r="R150" s="42">
        <f>U149</f>
        <v/>
      </c>
      <c r="S150" s="43">
        <f>IF(R150&gt;0,R150*Plan!$D$26/100/12,0)</f>
        <v/>
      </c>
      <c r="T150" s="42">
        <f>IF(R150&lt;=0,0,MIN(R150+S150,Plan!$E$26+Q150))</f>
        <v/>
      </c>
      <c r="U150" s="44">
        <f>MAX(0,R150+S150-T150)</f>
        <v/>
      </c>
      <c r="V150" s="45">
        <f>Q150-IF(R150&lt;=0,0,MAX(0,T150-Plan!$E$26))</f>
        <v/>
      </c>
      <c r="W150" s="42">
        <f>Z149</f>
        <v/>
      </c>
      <c r="X150" s="43">
        <f>IF(W150&gt;0,W150*Plan!$D$27/100/12,0)</f>
        <v/>
      </c>
      <c r="Y150" s="42">
        <f>IF(W150&lt;=0,0,MIN(W150+X150,Plan!$E$27+V150))</f>
        <v/>
      </c>
      <c r="Z150" s="44">
        <f>MAX(0,W150+X150-Y150)</f>
        <v/>
      </c>
      <c r="AA150" s="45">
        <f>V150-IF(W150&lt;=0,0,MAX(0,Y150-Plan!$E$27))</f>
        <v/>
      </c>
      <c r="AB150" s="42">
        <f>AE149</f>
        <v/>
      </c>
      <c r="AC150" s="43">
        <f>IF(AB150&gt;0,AB150*Plan!$D$28/100/12,0)</f>
        <v/>
      </c>
      <c r="AD150" s="42">
        <f>IF(AB150&lt;=0,0,MIN(AB150+AC150,Plan!$E$28+AA150))</f>
        <v/>
      </c>
      <c r="AE150" s="44">
        <f>MAX(0,AB150+AC150-AD150)</f>
        <v/>
      </c>
      <c r="AF150" s="45">
        <f>AA150-IF(AB150&lt;=0,0,MAX(0,AD150-Plan!$E$28))</f>
        <v/>
      </c>
      <c r="AG150" s="44">
        <f>F150+K150+P150+U150+Z150+AE150</f>
        <v/>
      </c>
    </row>
    <row r="151">
      <c r="A151" s="46" t="n">
        <v>144</v>
      </c>
      <c r="B151" s="47">
        <f>EDATE(Plan!$C$18,143)</f>
        <v/>
      </c>
      <c r="C151" s="48">
        <f>F150</f>
        <v/>
      </c>
      <c r="D151" s="49">
        <f>IF(C151&gt;0,C151*Plan!$D$23/100/12,0)</f>
        <v/>
      </c>
      <c r="E151" s="48">
        <f>IF(C151&lt;=0,0,MIN(C151+D151,Plan!$E$23+(Plan!$C$17+IF(C151&lt;=0,Plan!$E$23,MAX(0,Plan!$E$23-(C151+D151)))+IF(H151&lt;=0,Plan!$E$24,MAX(0,Plan!$E$24-(H151+I151)))+IF(M151&lt;=0,Plan!$E$25,MAX(0,Plan!$E$25-(M151+N151)))+IF(R151&lt;=0,Plan!$E$26,MAX(0,Plan!$E$26-(R151+S151)))+IF(W151&lt;=0,Plan!$E$27,MAX(0,Plan!$E$27-(W151+X151)))+IF(AB151&lt;=0,Plan!$E$28,MAX(0,Plan!$E$28-(AB151+AC151))))))</f>
        <v/>
      </c>
      <c r="F151" s="50">
        <f>MAX(0,C151+D151-E151)</f>
        <v/>
      </c>
      <c r="G151" s="51">
        <f>(Plan!$C$17+IF(C151&lt;=0,Plan!$E$23,MAX(0,Plan!$E$23-(C151+D151)))+IF(H151&lt;=0,Plan!$E$24,MAX(0,Plan!$E$24-(H151+I151)))+IF(M151&lt;=0,Plan!$E$25,MAX(0,Plan!$E$25-(M151+N151)))+IF(R151&lt;=0,Plan!$E$26,MAX(0,Plan!$E$26-(R151+S151)))+IF(W151&lt;=0,Plan!$E$27,MAX(0,Plan!$E$27-(W151+X151)))+IF(AB151&lt;=0,Plan!$E$28,MAX(0,Plan!$E$28-(AB151+AC151))))-IF(C151&lt;=0,0,MAX(0,E151-Plan!$E$23))</f>
        <v/>
      </c>
      <c r="H151" s="48">
        <f>K150</f>
        <v/>
      </c>
      <c r="I151" s="49">
        <f>IF(H151&gt;0,H151*Plan!$D$24/100/12,0)</f>
        <v/>
      </c>
      <c r="J151" s="48">
        <f>IF(H151&lt;=0,0,MIN(H151+I151,Plan!$E$24+G151))</f>
        <v/>
      </c>
      <c r="K151" s="50">
        <f>MAX(0,H151+I151-J151)</f>
        <v/>
      </c>
      <c r="L151" s="51">
        <f>G151-IF(H151&lt;=0,0,MAX(0,J151-Plan!$E$24))</f>
        <v/>
      </c>
      <c r="M151" s="48">
        <f>P150</f>
        <v/>
      </c>
      <c r="N151" s="49">
        <f>IF(M151&gt;0,M151*Plan!$D$25/100/12,0)</f>
        <v/>
      </c>
      <c r="O151" s="48">
        <f>IF(M151&lt;=0,0,MIN(M151+N151,Plan!$E$25+L151))</f>
        <v/>
      </c>
      <c r="P151" s="50">
        <f>MAX(0,M151+N151-O151)</f>
        <v/>
      </c>
      <c r="Q151" s="51">
        <f>L151-IF(M151&lt;=0,0,MAX(0,O151-Plan!$E$25))</f>
        <v/>
      </c>
      <c r="R151" s="48">
        <f>U150</f>
        <v/>
      </c>
      <c r="S151" s="49">
        <f>IF(R151&gt;0,R151*Plan!$D$26/100/12,0)</f>
        <v/>
      </c>
      <c r="T151" s="48">
        <f>IF(R151&lt;=0,0,MIN(R151+S151,Plan!$E$26+Q151))</f>
        <v/>
      </c>
      <c r="U151" s="50">
        <f>MAX(0,R151+S151-T151)</f>
        <v/>
      </c>
      <c r="V151" s="51">
        <f>Q151-IF(R151&lt;=0,0,MAX(0,T151-Plan!$E$26))</f>
        <v/>
      </c>
      <c r="W151" s="48">
        <f>Z150</f>
        <v/>
      </c>
      <c r="X151" s="49">
        <f>IF(W151&gt;0,W151*Plan!$D$27/100/12,0)</f>
        <v/>
      </c>
      <c r="Y151" s="48">
        <f>IF(W151&lt;=0,0,MIN(W151+X151,Plan!$E$27+V151))</f>
        <v/>
      </c>
      <c r="Z151" s="50">
        <f>MAX(0,W151+X151-Y151)</f>
        <v/>
      </c>
      <c r="AA151" s="51">
        <f>V151-IF(W151&lt;=0,0,MAX(0,Y151-Plan!$E$27))</f>
        <v/>
      </c>
      <c r="AB151" s="48">
        <f>AE150</f>
        <v/>
      </c>
      <c r="AC151" s="49">
        <f>IF(AB151&gt;0,AB151*Plan!$D$28/100/12,0)</f>
        <v/>
      </c>
      <c r="AD151" s="48">
        <f>IF(AB151&lt;=0,0,MIN(AB151+AC151,Plan!$E$28+AA151))</f>
        <v/>
      </c>
      <c r="AE151" s="50">
        <f>MAX(0,AB151+AC151-AD151)</f>
        <v/>
      </c>
      <c r="AF151" s="51">
        <f>AA151-IF(AB151&lt;=0,0,MAX(0,AD151-Plan!$E$28))</f>
        <v/>
      </c>
      <c r="AG151" s="50">
        <f>F151+K151+P151+U151+Z151+AE151</f>
        <v/>
      </c>
    </row>
    <row r="152">
      <c r="A152" s="40" t="n">
        <v>145</v>
      </c>
      <c r="B152" s="41">
        <f>EDATE(Plan!$C$18,144)</f>
        <v/>
      </c>
      <c r="C152" s="42">
        <f>F151</f>
        <v/>
      </c>
      <c r="D152" s="43">
        <f>IF(C152&gt;0,C152*Plan!$D$23/100/12,0)</f>
        <v/>
      </c>
      <c r="E152" s="42">
        <f>IF(C152&lt;=0,0,MIN(C152+D152,Plan!$E$23+(Plan!$C$17+IF(C152&lt;=0,Plan!$E$23,MAX(0,Plan!$E$23-(C152+D152)))+IF(H152&lt;=0,Plan!$E$24,MAX(0,Plan!$E$24-(H152+I152)))+IF(M152&lt;=0,Plan!$E$25,MAX(0,Plan!$E$25-(M152+N152)))+IF(R152&lt;=0,Plan!$E$26,MAX(0,Plan!$E$26-(R152+S152)))+IF(W152&lt;=0,Plan!$E$27,MAX(0,Plan!$E$27-(W152+X152)))+IF(AB152&lt;=0,Plan!$E$28,MAX(0,Plan!$E$28-(AB152+AC152))))))</f>
        <v/>
      </c>
      <c r="F152" s="44">
        <f>MAX(0,C152+D152-E152)</f>
        <v/>
      </c>
      <c r="G152" s="45">
        <f>(Plan!$C$17+IF(C152&lt;=0,Plan!$E$23,MAX(0,Plan!$E$23-(C152+D152)))+IF(H152&lt;=0,Plan!$E$24,MAX(0,Plan!$E$24-(H152+I152)))+IF(M152&lt;=0,Plan!$E$25,MAX(0,Plan!$E$25-(M152+N152)))+IF(R152&lt;=0,Plan!$E$26,MAX(0,Plan!$E$26-(R152+S152)))+IF(W152&lt;=0,Plan!$E$27,MAX(0,Plan!$E$27-(W152+X152)))+IF(AB152&lt;=0,Plan!$E$28,MAX(0,Plan!$E$28-(AB152+AC152))))-IF(C152&lt;=0,0,MAX(0,E152-Plan!$E$23))</f>
        <v/>
      </c>
      <c r="H152" s="42">
        <f>K151</f>
        <v/>
      </c>
      <c r="I152" s="43">
        <f>IF(H152&gt;0,H152*Plan!$D$24/100/12,0)</f>
        <v/>
      </c>
      <c r="J152" s="42">
        <f>IF(H152&lt;=0,0,MIN(H152+I152,Plan!$E$24+G152))</f>
        <v/>
      </c>
      <c r="K152" s="44">
        <f>MAX(0,H152+I152-J152)</f>
        <v/>
      </c>
      <c r="L152" s="45">
        <f>G152-IF(H152&lt;=0,0,MAX(0,J152-Plan!$E$24))</f>
        <v/>
      </c>
      <c r="M152" s="42">
        <f>P151</f>
        <v/>
      </c>
      <c r="N152" s="43">
        <f>IF(M152&gt;0,M152*Plan!$D$25/100/12,0)</f>
        <v/>
      </c>
      <c r="O152" s="42">
        <f>IF(M152&lt;=0,0,MIN(M152+N152,Plan!$E$25+L152))</f>
        <v/>
      </c>
      <c r="P152" s="44">
        <f>MAX(0,M152+N152-O152)</f>
        <v/>
      </c>
      <c r="Q152" s="45">
        <f>L152-IF(M152&lt;=0,0,MAX(0,O152-Plan!$E$25))</f>
        <v/>
      </c>
      <c r="R152" s="42">
        <f>U151</f>
        <v/>
      </c>
      <c r="S152" s="43">
        <f>IF(R152&gt;0,R152*Plan!$D$26/100/12,0)</f>
        <v/>
      </c>
      <c r="T152" s="42">
        <f>IF(R152&lt;=0,0,MIN(R152+S152,Plan!$E$26+Q152))</f>
        <v/>
      </c>
      <c r="U152" s="44">
        <f>MAX(0,R152+S152-T152)</f>
        <v/>
      </c>
      <c r="V152" s="45">
        <f>Q152-IF(R152&lt;=0,0,MAX(0,T152-Plan!$E$26))</f>
        <v/>
      </c>
      <c r="W152" s="42">
        <f>Z151</f>
        <v/>
      </c>
      <c r="X152" s="43">
        <f>IF(W152&gt;0,W152*Plan!$D$27/100/12,0)</f>
        <v/>
      </c>
      <c r="Y152" s="42">
        <f>IF(W152&lt;=0,0,MIN(W152+X152,Plan!$E$27+V152))</f>
        <v/>
      </c>
      <c r="Z152" s="44">
        <f>MAX(0,W152+X152-Y152)</f>
        <v/>
      </c>
      <c r="AA152" s="45">
        <f>V152-IF(W152&lt;=0,0,MAX(0,Y152-Plan!$E$27))</f>
        <v/>
      </c>
      <c r="AB152" s="42">
        <f>AE151</f>
        <v/>
      </c>
      <c r="AC152" s="43">
        <f>IF(AB152&gt;0,AB152*Plan!$D$28/100/12,0)</f>
        <v/>
      </c>
      <c r="AD152" s="42">
        <f>IF(AB152&lt;=0,0,MIN(AB152+AC152,Plan!$E$28+AA152))</f>
        <v/>
      </c>
      <c r="AE152" s="44">
        <f>MAX(0,AB152+AC152-AD152)</f>
        <v/>
      </c>
      <c r="AF152" s="45">
        <f>AA152-IF(AB152&lt;=0,0,MAX(0,AD152-Plan!$E$28))</f>
        <v/>
      </c>
      <c r="AG152" s="44">
        <f>F152+K152+P152+U152+Z152+AE152</f>
        <v/>
      </c>
    </row>
    <row r="153">
      <c r="A153" s="46" t="n">
        <v>146</v>
      </c>
      <c r="B153" s="47">
        <f>EDATE(Plan!$C$18,145)</f>
        <v/>
      </c>
      <c r="C153" s="48">
        <f>F152</f>
        <v/>
      </c>
      <c r="D153" s="49">
        <f>IF(C153&gt;0,C153*Plan!$D$23/100/12,0)</f>
        <v/>
      </c>
      <c r="E153" s="48">
        <f>IF(C153&lt;=0,0,MIN(C153+D153,Plan!$E$23+(Plan!$C$17+IF(C153&lt;=0,Plan!$E$23,MAX(0,Plan!$E$23-(C153+D153)))+IF(H153&lt;=0,Plan!$E$24,MAX(0,Plan!$E$24-(H153+I153)))+IF(M153&lt;=0,Plan!$E$25,MAX(0,Plan!$E$25-(M153+N153)))+IF(R153&lt;=0,Plan!$E$26,MAX(0,Plan!$E$26-(R153+S153)))+IF(W153&lt;=0,Plan!$E$27,MAX(0,Plan!$E$27-(W153+X153)))+IF(AB153&lt;=0,Plan!$E$28,MAX(0,Plan!$E$28-(AB153+AC153))))))</f>
        <v/>
      </c>
      <c r="F153" s="50">
        <f>MAX(0,C153+D153-E153)</f>
        <v/>
      </c>
      <c r="G153" s="51">
        <f>(Plan!$C$17+IF(C153&lt;=0,Plan!$E$23,MAX(0,Plan!$E$23-(C153+D153)))+IF(H153&lt;=0,Plan!$E$24,MAX(0,Plan!$E$24-(H153+I153)))+IF(M153&lt;=0,Plan!$E$25,MAX(0,Plan!$E$25-(M153+N153)))+IF(R153&lt;=0,Plan!$E$26,MAX(0,Plan!$E$26-(R153+S153)))+IF(W153&lt;=0,Plan!$E$27,MAX(0,Plan!$E$27-(W153+X153)))+IF(AB153&lt;=0,Plan!$E$28,MAX(0,Plan!$E$28-(AB153+AC153))))-IF(C153&lt;=0,0,MAX(0,E153-Plan!$E$23))</f>
        <v/>
      </c>
      <c r="H153" s="48">
        <f>K152</f>
        <v/>
      </c>
      <c r="I153" s="49">
        <f>IF(H153&gt;0,H153*Plan!$D$24/100/12,0)</f>
        <v/>
      </c>
      <c r="J153" s="48">
        <f>IF(H153&lt;=0,0,MIN(H153+I153,Plan!$E$24+G153))</f>
        <v/>
      </c>
      <c r="K153" s="50">
        <f>MAX(0,H153+I153-J153)</f>
        <v/>
      </c>
      <c r="L153" s="51">
        <f>G153-IF(H153&lt;=0,0,MAX(0,J153-Plan!$E$24))</f>
        <v/>
      </c>
      <c r="M153" s="48">
        <f>P152</f>
        <v/>
      </c>
      <c r="N153" s="49">
        <f>IF(M153&gt;0,M153*Plan!$D$25/100/12,0)</f>
        <v/>
      </c>
      <c r="O153" s="48">
        <f>IF(M153&lt;=0,0,MIN(M153+N153,Plan!$E$25+L153))</f>
        <v/>
      </c>
      <c r="P153" s="50">
        <f>MAX(0,M153+N153-O153)</f>
        <v/>
      </c>
      <c r="Q153" s="51">
        <f>L153-IF(M153&lt;=0,0,MAX(0,O153-Plan!$E$25))</f>
        <v/>
      </c>
      <c r="R153" s="48">
        <f>U152</f>
        <v/>
      </c>
      <c r="S153" s="49">
        <f>IF(R153&gt;0,R153*Plan!$D$26/100/12,0)</f>
        <v/>
      </c>
      <c r="T153" s="48">
        <f>IF(R153&lt;=0,0,MIN(R153+S153,Plan!$E$26+Q153))</f>
        <v/>
      </c>
      <c r="U153" s="50">
        <f>MAX(0,R153+S153-T153)</f>
        <v/>
      </c>
      <c r="V153" s="51">
        <f>Q153-IF(R153&lt;=0,0,MAX(0,T153-Plan!$E$26))</f>
        <v/>
      </c>
      <c r="W153" s="48">
        <f>Z152</f>
        <v/>
      </c>
      <c r="X153" s="49">
        <f>IF(W153&gt;0,W153*Plan!$D$27/100/12,0)</f>
        <v/>
      </c>
      <c r="Y153" s="48">
        <f>IF(W153&lt;=0,0,MIN(W153+X153,Plan!$E$27+V153))</f>
        <v/>
      </c>
      <c r="Z153" s="50">
        <f>MAX(0,W153+X153-Y153)</f>
        <v/>
      </c>
      <c r="AA153" s="51">
        <f>V153-IF(W153&lt;=0,0,MAX(0,Y153-Plan!$E$27))</f>
        <v/>
      </c>
      <c r="AB153" s="48">
        <f>AE152</f>
        <v/>
      </c>
      <c r="AC153" s="49">
        <f>IF(AB153&gt;0,AB153*Plan!$D$28/100/12,0)</f>
        <v/>
      </c>
      <c r="AD153" s="48">
        <f>IF(AB153&lt;=0,0,MIN(AB153+AC153,Plan!$E$28+AA153))</f>
        <v/>
      </c>
      <c r="AE153" s="50">
        <f>MAX(0,AB153+AC153-AD153)</f>
        <v/>
      </c>
      <c r="AF153" s="51">
        <f>AA153-IF(AB153&lt;=0,0,MAX(0,AD153-Plan!$E$28))</f>
        <v/>
      </c>
      <c r="AG153" s="50">
        <f>F153+K153+P153+U153+Z153+AE153</f>
        <v/>
      </c>
    </row>
    <row r="154">
      <c r="A154" s="40" t="n">
        <v>147</v>
      </c>
      <c r="B154" s="41">
        <f>EDATE(Plan!$C$18,146)</f>
        <v/>
      </c>
      <c r="C154" s="42">
        <f>F153</f>
        <v/>
      </c>
      <c r="D154" s="43">
        <f>IF(C154&gt;0,C154*Plan!$D$23/100/12,0)</f>
        <v/>
      </c>
      <c r="E154" s="42">
        <f>IF(C154&lt;=0,0,MIN(C154+D154,Plan!$E$23+(Plan!$C$17+IF(C154&lt;=0,Plan!$E$23,MAX(0,Plan!$E$23-(C154+D154)))+IF(H154&lt;=0,Plan!$E$24,MAX(0,Plan!$E$24-(H154+I154)))+IF(M154&lt;=0,Plan!$E$25,MAX(0,Plan!$E$25-(M154+N154)))+IF(R154&lt;=0,Plan!$E$26,MAX(0,Plan!$E$26-(R154+S154)))+IF(W154&lt;=0,Plan!$E$27,MAX(0,Plan!$E$27-(W154+X154)))+IF(AB154&lt;=0,Plan!$E$28,MAX(0,Plan!$E$28-(AB154+AC154))))))</f>
        <v/>
      </c>
      <c r="F154" s="44">
        <f>MAX(0,C154+D154-E154)</f>
        <v/>
      </c>
      <c r="G154" s="45">
        <f>(Plan!$C$17+IF(C154&lt;=0,Plan!$E$23,MAX(0,Plan!$E$23-(C154+D154)))+IF(H154&lt;=0,Plan!$E$24,MAX(0,Plan!$E$24-(H154+I154)))+IF(M154&lt;=0,Plan!$E$25,MAX(0,Plan!$E$25-(M154+N154)))+IF(R154&lt;=0,Plan!$E$26,MAX(0,Plan!$E$26-(R154+S154)))+IF(W154&lt;=0,Plan!$E$27,MAX(0,Plan!$E$27-(W154+X154)))+IF(AB154&lt;=0,Plan!$E$28,MAX(0,Plan!$E$28-(AB154+AC154))))-IF(C154&lt;=0,0,MAX(0,E154-Plan!$E$23))</f>
        <v/>
      </c>
      <c r="H154" s="42">
        <f>K153</f>
        <v/>
      </c>
      <c r="I154" s="43">
        <f>IF(H154&gt;0,H154*Plan!$D$24/100/12,0)</f>
        <v/>
      </c>
      <c r="J154" s="42">
        <f>IF(H154&lt;=0,0,MIN(H154+I154,Plan!$E$24+G154))</f>
        <v/>
      </c>
      <c r="K154" s="44">
        <f>MAX(0,H154+I154-J154)</f>
        <v/>
      </c>
      <c r="L154" s="45">
        <f>G154-IF(H154&lt;=0,0,MAX(0,J154-Plan!$E$24))</f>
        <v/>
      </c>
      <c r="M154" s="42">
        <f>P153</f>
        <v/>
      </c>
      <c r="N154" s="43">
        <f>IF(M154&gt;0,M154*Plan!$D$25/100/12,0)</f>
        <v/>
      </c>
      <c r="O154" s="42">
        <f>IF(M154&lt;=0,0,MIN(M154+N154,Plan!$E$25+L154))</f>
        <v/>
      </c>
      <c r="P154" s="44">
        <f>MAX(0,M154+N154-O154)</f>
        <v/>
      </c>
      <c r="Q154" s="45">
        <f>L154-IF(M154&lt;=0,0,MAX(0,O154-Plan!$E$25))</f>
        <v/>
      </c>
      <c r="R154" s="42">
        <f>U153</f>
        <v/>
      </c>
      <c r="S154" s="43">
        <f>IF(R154&gt;0,R154*Plan!$D$26/100/12,0)</f>
        <v/>
      </c>
      <c r="T154" s="42">
        <f>IF(R154&lt;=0,0,MIN(R154+S154,Plan!$E$26+Q154))</f>
        <v/>
      </c>
      <c r="U154" s="44">
        <f>MAX(0,R154+S154-T154)</f>
        <v/>
      </c>
      <c r="V154" s="45">
        <f>Q154-IF(R154&lt;=0,0,MAX(0,T154-Plan!$E$26))</f>
        <v/>
      </c>
      <c r="W154" s="42">
        <f>Z153</f>
        <v/>
      </c>
      <c r="X154" s="43">
        <f>IF(W154&gt;0,W154*Plan!$D$27/100/12,0)</f>
        <v/>
      </c>
      <c r="Y154" s="42">
        <f>IF(W154&lt;=0,0,MIN(W154+X154,Plan!$E$27+V154))</f>
        <v/>
      </c>
      <c r="Z154" s="44">
        <f>MAX(0,W154+X154-Y154)</f>
        <v/>
      </c>
      <c r="AA154" s="45">
        <f>V154-IF(W154&lt;=0,0,MAX(0,Y154-Plan!$E$27))</f>
        <v/>
      </c>
      <c r="AB154" s="42">
        <f>AE153</f>
        <v/>
      </c>
      <c r="AC154" s="43">
        <f>IF(AB154&gt;0,AB154*Plan!$D$28/100/12,0)</f>
        <v/>
      </c>
      <c r="AD154" s="42">
        <f>IF(AB154&lt;=0,0,MIN(AB154+AC154,Plan!$E$28+AA154))</f>
        <v/>
      </c>
      <c r="AE154" s="44">
        <f>MAX(0,AB154+AC154-AD154)</f>
        <v/>
      </c>
      <c r="AF154" s="45">
        <f>AA154-IF(AB154&lt;=0,0,MAX(0,AD154-Plan!$E$28))</f>
        <v/>
      </c>
      <c r="AG154" s="44">
        <f>F154+K154+P154+U154+Z154+AE154</f>
        <v/>
      </c>
    </row>
    <row r="155">
      <c r="A155" s="46" t="n">
        <v>148</v>
      </c>
      <c r="B155" s="47">
        <f>EDATE(Plan!$C$18,147)</f>
        <v/>
      </c>
      <c r="C155" s="48">
        <f>F154</f>
        <v/>
      </c>
      <c r="D155" s="49">
        <f>IF(C155&gt;0,C155*Plan!$D$23/100/12,0)</f>
        <v/>
      </c>
      <c r="E155" s="48">
        <f>IF(C155&lt;=0,0,MIN(C155+D155,Plan!$E$23+(Plan!$C$17+IF(C155&lt;=0,Plan!$E$23,MAX(0,Plan!$E$23-(C155+D155)))+IF(H155&lt;=0,Plan!$E$24,MAX(0,Plan!$E$24-(H155+I155)))+IF(M155&lt;=0,Plan!$E$25,MAX(0,Plan!$E$25-(M155+N155)))+IF(R155&lt;=0,Plan!$E$26,MAX(0,Plan!$E$26-(R155+S155)))+IF(W155&lt;=0,Plan!$E$27,MAX(0,Plan!$E$27-(W155+X155)))+IF(AB155&lt;=0,Plan!$E$28,MAX(0,Plan!$E$28-(AB155+AC155))))))</f>
        <v/>
      </c>
      <c r="F155" s="50">
        <f>MAX(0,C155+D155-E155)</f>
        <v/>
      </c>
      <c r="G155" s="51">
        <f>(Plan!$C$17+IF(C155&lt;=0,Plan!$E$23,MAX(0,Plan!$E$23-(C155+D155)))+IF(H155&lt;=0,Plan!$E$24,MAX(0,Plan!$E$24-(H155+I155)))+IF(M155&lt;=0,Plan!$E$25,MAX(0,Plan!$E$25-(M155+N155)))+IF(R155&lt;=0,Plan!$E$26,MAX(0,Plan!$E$26-(R155+S155)))+IF(W155&lt;=0,Plan!$E$27,MAX(0,Plan!$E$27-(W155+X155)))+IF(AB155&lt;=0,Plan!$E$28,MAX(0,Plan!$E$28-(AB155+AC155))))-IF(C155&lt;=0,0,MAX(0,E155-Plan!$E$23))</f>
        <v/>
      </c>
      <c r="H155" s="48">
        <f>K154</f>
        <v/>
      </c>
      <c r="I155" s="49">
        <f>IF(H155&gt;0,H155*Plan!$D$24/100/12,0)</f>
        <v/>
      </c>
      <c r="J155" s="48">
        <f>IF(H155&lt;=0,0,MIN(H155+I155,Plan!$E$24+G155))</f>
        <v/>
      </c>
      <c r="K155" s="50">
        <f>MAX(0,H155+I155-J155)</f>
        <v/>
      </c>
      <c r="L155" s="51">
        <f>G155-IF(H155&lt;=0,0,MAX(0,J155-Plan!$E$24))</f>
        <v/>
      </c>
      <c r="M155" s="48">
        <f>P154</f>
        <v/>
      </c>
      <c r="N155" s="49">
        <f>IF(M155&gt;0,M155*Plan!$D$25/100/12,0)</f>
        <v/>
      </c>
      <c r="O155" s="48">
        <f>IF(M155&lt;=0,0,MIN(M155+N155,Plan!$E$25+L155))</f>
        <v/>
      </c>
      <c r="P155" s="50">
        <f>MAX(0,M155+N155-O155)</f>
        <v/>
      </c>
      <c r="Q155" s="51">
        <f>L155-IF(M155&lt;=0,0,MAX(0,O155-Plan!$E$25))</f>
        <v/>
      </c>
      <c r="R155" s="48">
        <f>U154</f>
        <v/>
      </c>
      <c r="S155" s="49">
        <f>IF(R155&gt;0,R155*Plan!$D$26/100/12,0)</f>
        <v/>
      </c>
      <c r="T155" s="48">
        <f>IF(R155&lt;=0,0,MIN(R155+S155,Plan!$E$26+Q155))</f>
        <v/>
      </c>
      <c r="U155" s="50">
        <f>MAX(0,R155+S155-T155)</f>
        <v/>
      </c>
      <c r="V155" s="51">
        <f>Q155-IF(R155&lt;=0,0,MAX(0,T155-Plan!$E$26))</f>
        <v/>
      </c>
      <c r="W155" s="48">
        <f>Z154</f>
        <v/>
      </c>
      <c r="X155" s="49">
        <f>IF(W155&gt;0,W155*Plan!$D$27/100/12,0)</f>
        <v/>
      </c>
      <c r="Y155" s="48">
        <f>IF(W155&lt;=0,0,MIN(W155+X155,Plan!$E$27+V155))</f>
        <v/>
      </c>
      <c r="Z155" s="50">
        <f>MAX(0,W155+X155-Y155)</f>
        <v/>
      </c>
      <c r="AA155" s="51">
        <f>V155-IF(W155&lt;=0,0,MAX(0,Y155-Plan!$E$27))</f>
        <v/>
      </c>
      <c r="AB155" s="48">
        <f>AE154</f>
        <v/>
      </c>
      <c r="AC155" s="49">
        <f>IF(AB155&gt;0,AB155*Plan!$D$28/100/12,0)</f>
        <v/>
      </c>
      <c r="AD155" s="48">
        <f>IF(AB155&lt;=0,0,MIN(AB155+AC155,Plan!$E$28+AA155))</f>
        <v/>
      </c>
      <c r="AE155" s="50">
        <f>MAX(0,AB155+AC155-AD155)</f>
        <v/>
      </c>
      <c r="AF155" s="51">
        <f>AA155-IF(AB155&lt;=0,0,MAX(0,AD155-Plan!$E$28))</f>
        <v/>
      </c>
      <c r="AG155" s="50">
        <f>F155+K155+P155+U155+Z155+AE155</f>
        <v/>
      </c>
    </row>
    <row r="156">
      <c r="A156" s="40" t="n">
        <v>149</v>
      </c>
      <c r="B156" s="41">
        <f>EDATE(Plan!$C$18,148)</f>
        <v/>
      </c>
      <c r="C156" s="42">
        <f>F155</f>
        <v/>
      </c>
      <c r="D156" s="43">
        <f>IF(C156&gt;0,C156*Plan!$D$23/100/12,0)</f>
        <v/>
      </c>
      <c r="E156" s="42">
        <f>IF(C156&lt;=0,0,MIN(C156+D156,Plan!$E$23+(Plan!$C$17+IF(C156&lt;=0,Plan!$E$23,MAX(0,Plan!$E$23-(C156+D156)))+IF(H156&lt;=0,Plan!$E$24,MAX(0,Plan!$E$24-(H156+I156)))+IF(M156&lt;=0,Plan!$E$25,MAX(0,Plan!$E$25-(M156+N156)))+IF(R156&lt;=0,Plan!$E$26,MAX(0,Plan!$E$26-(R156+S156)))+IF(W156&lt;=0,Plan!$E$27,MAX(0,Plan!$E$27-(W156+X156)))+IF(AB156&lt;=0,Plan!$E$28,MAX(0,Plan!$E$28-(AB156+AC156))))))</f>
        <v/>
      </c>
      <c r="F156" s="44">
        <f>MAX(0,C156+D156-E156)</f>
        <v/>
      </c>
      <c r="G156" s="45">
        <f>(Plan!$C$17+IF(C156&lt;=0,Plan!$E$23,MAX(0,Plan!$E$23-(C156+D156)))+IF(H156&lt;=0,Plan!$E$24,MAX(0,Plan!$E$24-(H156+I156)))+IF(M156&lt;=0,Plan!$E$25,MAX(0,Plan!$E$25-(M156+N156)))+IF(R156&lt;=0,Plan!$E$26,MAX(0,Plan!$E$26-(R156+S156)))+IF(W156&lt;=0,Plan!$E$27,MAX(0,Plan!$E$27-(W156+X156)))+IF(AB156&lt;=0,Plan!$E$28,MAX(0,Plan!$E$28-(AB156+AC156))))-IF(C156&lt;=0,0,MAX(0,E156-Plan!$E$23))</f>
        <v/>
      </c>
      <c r="H156" s="42">
        <f>K155</f>
        <v/>
      </c>
      <c r="I156" s="43">
        <f>IF(H156&gt;0,H156*Plan!$D$24/100/12,0)</f>
        <v/>
      </c>
      <c r="J156" s="42">
        <f>IF(H156&lt;=0,0,MIN(H156+I156,Plan!$E$24+G156))</f>
        <v/>
      </c>
      <c r="K156" s="44">
        <f>MAX(0,H156+I156-J156)</f>
        <v/>
      </c>
      <c r="L156" s="45">
        <f>G156-IF(H156&lt;=0,0,MAX(0,J156-Plan!$E$24))</f>
        <v/>
      </c>
      <c r="M156" s="42">
        <f>P155</f>
        <v/>
      </c>
      <c r="N156" s="43">
        <f>IF(M156&gt;0,M156*Plan!$D$25/100/12,0)</f>
        <v/>
      </c>
      <c r="O156" s="42">
        <f>IF(M156&lt;=0,0,MIN(M156+N156,Plan!$E$25+L156))</f>
        <v/>
      </c>
      <c r="P156" s="44">
        <f>MAX(0,M156+N156-O156)</f>
        <v/>
      </c>
      <c r="Q156" s="45">
        <f>L156-IF(M156&lt;=0,0,MAX(0,O156-Plan!$E$25))</f>
        <v/>
      </c>
      <c r="R156" s="42">
        <f>U155</f>
        <v/>
      </c>
      <c r="S156" s="43">
        <f>IF(R156&gt;0,R156*Plan!$D$26/100/12,0)</f>
        <v/>
      </c>
      <c r="T156" s="42">
        <f>IF(R156&lt;=0,0,MIN(R156+S156,Plan!$E$26+Q156))</f>
        <v/>
      </c>
      <c r="U156" s="44">
        <f>MAX(0,R156+S156-T156)</f>
        <v/>
      </c>
      <c r="V156" s="45">
        <f>Q156-IF(R156&lt;=0,0,MAX(0,T156-Plan!$E$26))</f>
        <v/>
      </c>
      <c r="W156" s="42">
        <f>Z155</f>
        <v/>
      </c>
      <c r="X156" s="43">
        <f>IF(W156&gt;0,W156*Plan!$D$27/100/12,0)</f>
        <v/>
      </c>
      <c r="Y156" s="42">
        <f>IF(W156&lt;=0,0,MIN(W156+X156,Plan!$E$27+V156))</f>
        <v/>
      </c>
      <c r="Z156" s="44">
        <f>MAX(0,W156+X156-Y156)</f>
        <v/>
      </c>
      <c r="AA156" s="45">
        <f>V156-IF(W156&lt;=0,0,MAX(0,Y156-Plan!$E$27))</f>
        <v/>
      </c>
      <c r="AB156" s="42">
        <f>AE155</f>
        <v/>
      </c>
      <c r="AC156" s="43">
        <f>IF(AB156&gt;0,AB156*Plan!$D$28/100/12,0)</f>
        <v/>
      </c>
      <c r="AD156" s="42">
        <f>IF(AB156&lt;=0,0,MIN(AB156+AC156,Plan!$E$28+AA156))</f>
        <v/>
      </c>
      <c r="AE156" s="44">
        <f>MAX(0,AB156+AC156-AD156)</f>
        <v/>
      </c>
      <c r="AF156" s="45">
        <f>AA156-IF(AB156&lt;=0,0,MAX(0,AD156-Plan!$E$28))</f>
        <v/>
      </c>
      <c r="AG156" s="44">
        <f>F156+K156+P156+U156+Z156+AE156</f>
        <v/>
      </c>
    </row>
    <row r="157">
      <c r="A157" s="46" t="n">
        <v>150</v>
      </c>
      <c r="B157" s="47">
        <f>EDATE(Plan!$C$18,149)</f>
        <v/>
      </c>
      <c r="C157" s="48">
        <f>F156</f>
        <v/>
      </c>
      <c r="D157" s="49">
        <f>IF(C157&gt;0,C157*Plan!$D$23/100/12,0)</f>
        <v/>
      </c>
      <c r="E157" s="48">
        <f>IF(C157&lt;=0,0,MIN(C157+D157,Plan!$E$23+(Plan!$C$17+IF(C157&lt;=0,Plan!$E$23,MAX(0,Plan!$E$23-(C157+D157)))+IF(H157&lt;=0,Plan!$E$24,MAX(0,Plan!$E$24-(H157+I157)))+IF(M157&lt;=0,Plan!$E$25,MAX(0,Plan!$E$25-(M157+N157)))+IF(R157&lt;=0,Plan!$E$26,MAX(0,Plan!$E$26-(R157+S157)))+IF(W157&lt;=0,Plan!$E$27,MAX(0,Plan!$E$27-(W157+X157)))+IF(AB157&lt;=0,Plan!$E$28,MAX(0,Plan!$E$28-(AB157+AC157))))))</f>
        <v/>
      </c>
      <c r="F157" s="50">
        <f>MAX(0,C157+D157-E157)</f>
        <v/>
      </c>
      <c r="G157" s="51">
        <f>(Plan!$C$17+IF(C157&lt;=0,Plan!$E$23,MAX(0,Plan!$E$23-(C157+D157)))+IF(H157&lt;=0,Plan!$E$24,MAX(0,Plan!$E$24-(H157+I157)))+IF(M157&lt;=0,Plan!$E$25,MAX(0,Plan!$E$25-(M157+N157)))+IF(R157&lt;=0,Plan!$E$26,MAX(0,Plan!$E$26-(R157+S157)))+IF(W157&lt;=0,Plan!$E$27,MAX(0,Plan!$E$27-(W157+X157)))+IF(AB157&lt;=0,Plan!$E$28,MAX(0,Plan!$E$28-(AB157+AC157))))-IF(C157&lt;=0,0,MAX(0,E157-Plan!$E$23))</f>
        <v/>
      </c>
      <c r="H157" s="48">
        <f>K156</f>
        <v/>
      </c>
      <c r="I157" s="49">
        <f>IF(H157&gt;0,H157*Plan!$D$24/100/12,0)</f>
        <v/>
      </c>
      <c r="J157" s="48">
        <f>IF(H157&lt;=0,0,MIN(H157+I157,Plan!$E$24+G157))</f>
        <v/>
      </c>
      <c r="K157" s="50">
        <f>MAX(0,H157+I157-J157)</f>
        <v/>
      </c>
      <c r="L157" s="51">
        <f>G157-IF(H157&lt;=0,0,MAX(0,J157-Plan!$E$24))</f>
        <v/>
      </c>
      <c r="M157" s="48">
        <f>P156</f>
        <v/>
      </c>
      <c r="N157" s="49">
        <f>IF(M157&gt;0,M157*Plan!$D$25/100/12,0)</f>
        <v/>
      </c>
      <c r="O157" s="48">
        <f>IF(M157&lt;=0,0,MIN(M157+N157,Plan!$E$25+L157))</f>
        <v/>
      </c>
      <c r="P157" s="50">
        <f>MAX(0,M157+N157-O157)</f>
        <v/>
      </c>
      <c r="Q157" s="51">
        <f>L157-IF(M157&lt;=0,0,MAX(0,O157-Plan!$E$25))</f>
        <v/>
      </c>
      <c r="R157" s="48">
        <f>U156</f>
        <v/>
      </c>
      <c r="S157" s="49">
        <f>IF(R157&gt;0,R157*Plan!$D$26/100/12,0)</f>
        <v/>
      </c>
      <c r="T157" s="48">
        <f>IF(R157&lt;=0,0,MIN(R157+S157,Plan!$E$26+Q157))</f>
        <v/>
      </c>
      <c r="U157" s="50">
        <f>MAX(0,R157+S157-T157)</f>
        <v/>
      </c>
      <c r="V157" s="51">
        <f>Q157-IF(R157&lt;=0,0,MAX(0,T157-Plan!$E$26))</f>
        <v/>
      </c>
      <c r="W157" s="48">
        <f>Z156</f>
        <v/>
      </c>
      <c r="X157" s="49">
        <f>IF(W157&gt;0,W157*Plan!$D$27/100/12,0)</f>
        <v/>
      </c>
      <c r="Y157" s="48">
        <f>IF(W157&lt;=0,0,MIN(W157+X157,Plan!$E$27+V157))</f>
        <v/>
      </c>
      <c r="Z157" s="50">
        <f>MAX(0,W157+X157-Y157)</f>
        <v/>
      </c>
      <c r="AA157" s="51">
        <f>V157-IF(W157&lt;=0,0,MAX(0,Y157-Plan!$E$27))</f>
        <v/>
      </c>
      <c r="AB157" s="48">
        <f>AE156</f>
        <v/>
      </c>
      <c r="AC157" s="49">
        <f>IF(AB157&gt;0,AB157*Plan!$D$28/100/12,0)</f>
        <v/>
      </c>
      <c r="AD157" s="48">
        <f>IF(AB157&lt;=0,0,MIN(AB157+AC157,Plan!$E$28+AA157))</f>
        <v/>
      </c>
      <c r="AE157" s="50">
        <f>MAX(0,AB157+AC157-AD157)</f>
        <v/>
      </c>
      <c r="AF157" s="51">
        <f>AA157-IF(AB157&lt;=0,0,MAX(0,AD157-Plan!$E$28))</f>
        <v/>
      </c>
      <c r="AG157" s="50">
        <f>F157+K157+P157+U157+Z157+AE157</f>
        <v/>
      </c>
    </row>
    <row r="158">
      <c r="A158" s="40" t="n">
        <v>151</v>
      </c>
      <c r="B158" s="41">
        <f>EDATE(Plan!$C$18,150)</f>
        <v/>
      </c>
      <c r="C158" s="42">
        <f>F157</f>
        <v/>
      </c>
      <c r="D158" s="43">
        <f>IF(C158&gt;0,C158*Plan!$D$23/100/12,0)</f>
        <v/>
      </c>
      <c r="E158" s="42">
        <f>IF(C158&lt;=0,0,MIN(C158+D158,Plan!$E$23+(Plan!$C$17+IF(C158&lt;=0,Plan!$E$23,MAX(0,Plan!$E$23-(C158+D158)))+IF(H158&lt;=0,Plan!$E$24,MAX(0,Plan!$E$24-(H158+I158)))+IF(M158&lt;=0,Plan!$E$25,MAX(0,Plan!$E$25-(M158+N158)))+IF(R158&lt;=0,Plan!$E$26,MAX(0,Plan!$E$26-(R158+S158)))+IF(W158&lt;=0,Plan!$E$27,MAX(0,Plan!$E$27-(W158+X158)))+IF(AB158&lt;=0,Plan!$E$28,MAX(0,Plan!$E$28-(AB158+AC158))))))</f>
        <v/>
      </c>
      <c r="F158" s="44">
        <f>MAX(0,C158+D158-E158)</f>
        <v/>
      </c>
      <c r="G158" s="45">
        <f>(Plan!$C$17+IF(C158&lt;=0,Plan!$E$23,MAX(0,Plan!$E$23-(C158+D158)))+IF(H158&lt;=0,Plan!$E$24,MAX(0,Plan!$E$24-(H158+I158)))+IF(M158&lt;=0,Plan!$E$25,MAX(0,Plan!$E$25-(M158+N158)))+IF(R158&lt;=0,Plan!$E$26,MAX(0,Plan!$E$26-(R158+S158)))+IF(W158&lt;=0,Plan!$E$27,MAX(0,Plan!$E$27-(W158+X158)))+IF(AB158&lt;=0,Plan!$E$28,MAX(0,Plan!$E$28-(AB158+AC158))))-IF(C158&lt;=0,0,MAX(0,E158-Plan!$E$23))</f>
        <v/>
      </c>
      <c r="H158" s="42">
        <f>K157</f>
        <v/>
      </c>
      <c r="I158" s="43">
        <f>IF(H158&gt;0,H158*Plan!$D$24/100/12,0)</f>
        <v/>
      </c>
      <c r="J158" s="42">
        <f>IF(H158&lt;=0,0,MIN(H158+I158,Plan!$E$24+G158))</f>
        <v/>
      </c>
      <c r="K158" s="44">
        <f>MAX(0,H158+I158-J158)</f>
        <v/>
      </c>
      <c r="L158" s="45">
        <f>G158-IF(H158&lt;=0,0,MAX(0,J158-Plan!$E$24))</f>
        <v/>
      </c>
      <c r="M158" s="42">
        <f>P157</f>
        <v/>
      </c>
      <c r="N158" s="43">
        <f>IF(M158&gt;0,M158*Plan!$D$25/100/12,0)</f>
        <v/>
      </c>
      <c r="O158" s="42">
        <f>IF(M158&lt;=0,0,MIN(M158+N158,Plan!$E$25+L158))</f>
        <v/>
      </c>
      <c r="P158" s="44">
        <f>MAX(0,M158+N158-O158)</f>
        <v/>
      </c>
      <c r="Q158" s="45">
        <f>L158-IF(M158&lt;=0,0,MAX(0,O158-Plan!$E$25))</f>
        <v/>
      </c>
      <c r="R158" s="42">
        <f>U157</f>
        <v/>
      </c>
      <c r="S158" s="43">
        <f>IF(R158&gt;0,R158*Plan!$D$26/100/12,0)</f>
        <v/>
      </c>
      <c r="T158" s="42">
        <f>IF(R158&lt;=0,0,MIN(R158+S158,Plan!$E$26+Q158))</f>
        <v/>
      </c>
      <c r="U158" s="44">
        <f>MAX(0,R158+S158-T158)</f>
        <v/>
      </c>
      <c r="V158" s="45">
        <f>Q158-IF(R158&lt;=0,0,MAX(0,T158-Plan!$E$26))</f>
        <v/>
      </c>
      <c r="W158" s="42">
        <f>Z157</f>
        <v/>
      </c>
      <c r="X158" s="43">
        <f>IF(W158&gt;0,W158*Plan!$D$27/100/12,0)</f>
        <v/>
      </c>
      <c r="Y158" s="42">
        <f>IF(W158&lt;=0,0,MIN(W158+X158,Plan!$E$27+V158))</f>
        <v/>
      </c>
      <c r="Z158" s="44">
        <f>MAX(0,W158+X158-Y158)</f>
        <v/>
      </c>
      <c r="AA158" s="45">
        <f>V158-IF(W158&lt;=0,0,MAX(0,Y158-Plan!$E$27))</f>
        <v/>
      </c>
      <c r="AB158" s="42">
        <f>AE157</f>
        <v/>
      </c>
      <c r="AC158" s="43">
        <f>IF(AB158&gt;0,AB158*Plan!$D$28/100/12,0)</f>
        <v/>
      </c>
      <c r="AD158" s="42">
        <f>IF(AB158&lt;=0,0,MIN(AB158+AC158,Plan!$E$28+AA158))</f>
        <v/>
      </c>
      <c r="AE158" s="44">
        <f>MAX(0,AB158+AC158-AD158)</f>
        <v/>
      </c>
      <c r="AF158" s="45">
        <f>AA158-IF(AB158&lt;=0,0,MAX(0,AD158-Plan!$E$28))</f>
        <v/>
      </c>
      <c r="AG158" s="44">
        <f>F158+K158+P158+U158+Z158+AE158</f>
        <v/>
      </c>
    </row>
    <row r="159">
      <c r="A159" s="46" t="n">
        <v>152</v>
      </c>
      <c r="B159" s="47">
        <f>EDATE(Plan!$C$18,151)</f>
        <v/>
      </c>
      <c r="C159" s="48">
        <f>F158</f>
        <v/>
      </c>
      <c r="D159" s="49">
        <f>IF(C159&gt;0,C159*Plan!$D$23/100/12,0)</f>
        <v/>
      </c>
      <c r="E159" s="48">
        <f>IF(C159&lt;=0,0,MIN(C159+D159,Plan!$E$23+(Plan!$C$17+IF(C159&lt;=0,Plan!$E$23,MAX(0,Plan!$E$23-(C159+D159)))+IF(H159&lt;=0,Plan!$E$24,MAX(0,Plan!$E$24-(H159+I159)))+IF(M159&lt;=0,Plan!$E$25,MAX(0,Plan!$E$25-(M159+N159)))+IF(R159&lt;=0,Plan!$E$26,MAX(0,Plan!$E$26-(R159+S159)))+IF(W159&lt;=0,Plan!$E$27,MAX(0,Plan!$E$27-(W159+X159)))+IF(AB159&lt;=0,Plan!$E$28,MAX(0,Plan!$E$28-(AB159+AC159))))))</f>
        <v/>
      </c>
      <c r="F159" s="50">
        <f>MAX(0,C159+D159-E159)</f>
        <v/>
      </c>
      <c r="G159" s="51">
        <f>(Plan!$C$17+IF(C159&lt;=0,Plan!$E$23,MAX(0,Plan!$E$23-(C159+D159)))+IF(H159&lt;=0,Plan!$E$24,MAX(0,Plan!$E$24-(H159+I159)))+IF(M159&lt;=0,Plan!$E$25,MAX(0,Plan!$E$25-(M159+N159)))+IF(R159&lt;=0,Plan!$E$26,MAX(0,Plan!$E$26-(R159+S159)))+IF(W159&lt;=0,Plan!$E$27,MAX(0,Plan!$E$27-(W159+X159)))+IF(AB159&lt;=0,Plan!$E$28,MAX(0,Plan!$E$28-(AB159+AC159))))-IF(C159&lt;=0,0,MAX(0,E159-Plan!$E$23))</f>
        <v/>
      </c>
      <c r="H159" s="48">
        <f>K158</f>
        <v/>
      </c>
      <c r="I159" s="49">
        <f>IF(H159&gt;0,H159*Plan!$D$24/100/12,0)</f>
        <v/>
      </c>
      <c r="J159" s="48">
        <f>IF(H159&lt;=0,0,MIN(H159+I159,Plan!$E$24+G159))</f>
        <v/>
      </c>
      <c r="K159" s="50">
        <f>MAX(0,H159+I159-J159)</f>
        <v/>
      </c>
      <c r="L159" s="51">
        <f>G159-IF(H159&lt;=0,0,MAX(0,J159-Plan!$E$24))</f>
        <v/>
      </c>
      <c r="M159" s="48">
        <f>P158</f>
        <v/>
      </c>
      <c r="N159" s="49">
        <f>IF(M159&gt;0,M159*Plan!$D$25/100/12,0)</f>
        <v/>
      </c>
      <c r="O159" s="48">
        <f>IF(M159&lt;=0,0,MIN(M159+N159,Plan!$E$25+L159))</f>
        <v/>
      </c>
      <c r="P159" s="50">
        <f>MAX(0,M159+N159-O159)</f>
        <v/>
      </c>
      <c r="Q159" s="51">
        <f>L159-IF(M159&lt;=0,0,MAX(0,O159-Plan!$E$25))</f>
        <v/>
      </c>
      <c r="R159" s="48">
        <f>U158</f>
        <v/>
      </c>
      <c r="S159" s="49">
        <f>IF(R159&gt;0,R159*Plan!$D$26/100/12,0)</f>
        <v/>
      </c>
      <c r="T159" s="48">
        <f>IF(R159&lt;=0,0,MIN(R159+S159,Plan!$E$26+Q159))</f>
        <v/>
      </c>
      <c r="U159" s="50">
        <f>MAX(0,R159+S159-T159)</f>
        <v/>
      </c>
      <c r="V159" s="51">
        <f>Q159-IF(R159&lt;=0,0,MAX(0,T159-Plan!$E$26))</f>
        <v/>
      </c>
      <c r="W159" s="48">
        <f>Z158</f>
        <v/>
      </c>
      <c r="X159" s="49">
        <f>IF(W159&gt;0,W159*Plan!$D$27/100/12,0)</f>
        <v/>
      </c>
      <c r="Y159" s="48">
        <f>IF(W159&lt;=0,0,MIN(W159+X159,Plan!$E$27+V159))</f>
        <v/>
      </c>
      <c r="Z159" s="50">
        <f>MAX(0,W159+X159-Y159)</f>
        <v/>
      </c>
      <c r="AA159" s="51">
        <f>V159-IF(W159&lt;=0,0,MAX(0,Y159-Plan!$E$27))</f>
        <v/>
      </c>
      <c r="AB159" s="48">
        <f>AE158</f>
        <v/>
      </c>
      <c r="AC159" s="49">
        <f>IF(AB159&gt;0,AB159*Plan!$D$28/100/12,0)</f>
        <v/>
      </c>
      <c r="AD159" s="48">
        <f>IF(AB159&lt;=0,0,MIN(AB159+AC159,Plan!$E$28+AA159))</f>
        <v/>
      </c>
      <c r="AE159" s="50">
        <f>MAX(0,AB159+AC159-AD159)</f>
        <v/>
      </c>
      <c r="AF159" s="51">
        <f>AA159-IF(AB159&lt;=0,0,MAX(0,AD159-Plan!$E$28))</f>
        <v/>
      </c>
      <c r="AG159" s="50">
        <f>F159+K159+P159+U159+Z159+AE159</f>
        <v/>
      </c>
    </row>
    <row r="160">
      <c r="A160" s="40" t="n">
        <v>153</v>
      </c>
      <c r="B160" s="41">
        <f>EDATE(Plan!$C$18,152)</f>
        <v/>
      </c>
      <c r="C160" s="42">
        <f>F159</f>
        <v/>
      </c>
      <c r="D160" s="43">
        <f>IF(C160&gt;0,C160*Plan!$D$23/100/12,0)</f>
        <v/>
      </c>
      <c r="E160" s="42">
        <f>IF(C160&lt;=0,0,MIN(C160+D160,Plan!$E$23+(Plan!$C$17+IF(C160&lt;=0,Plan!$E$23,MAX(0,Plan!$E$23-(C160+D160)))+IF(H160&lt;=0,Plan!$E$24,MAX(0,Plan!$E$24-(H160+I160)))+IF(M160&lt;=0,Plan!$E$25,MAX(0,Plan!$E$25-(M160+N160)))+IF(R160&lt;=0,Plan!$E$26,MAX(0,Plan!$E$26-(R160+S160)))+IF(W160&lt;=0,Plan!$E$27,MAX(0,Plan!$E$27-(W160+X160)))+IF(AB160&lt;=0,Plan!$E$28,MAX(0,Plan!$E$28-(AB160+AC160))))))</f>
        <v/>
      </c>
      <c r="F160" s="44">
        <f>MAX(0,C160+D160-E160)</f>
        <v/>
      </c>
      <c r="G160" s="45">
        <f>(Plan!$C$17+IF(C160&lt;=0,Plan!$E$23,MAX(0,Plan!$E$23-(C160+D160)))+IF(H160&lt;=0,Plan!$E$24,MAX(0,Plan!$E$24-(H160+I160)))+IF(M160&lt;=0,Plan!$E$25,MAX(0,Plan!$E$25-(M160+N160)))+IF(R160&lt;=0,Plan!$E$26,MAX(0,Plan!$E$26-(R160+S160)))+IF(W160&lt;=0,Plan!$E$27,MAX(0,Plan!$E$27-(W160+X160)))+IF(AB160&lt;=0,Plan!$E$28,MAX(0,Plan!$E$28-(AB160+AC160))))-IF(C160&lt;=0,0,MAX(0,E160-Plan!$E$23))</f>
        <v/>
      </c>
      <c r="H160" s="42">
        <f>K159</f>
        <v/>
      </c>
      <c r="I160" s="43">
        <f>IF(H160&gt;0,H160*Plan!$D$24/100/12,0)</f>
        <v/>
      </c>
      <c r="J160" s="42">
        <f>IF(H160&lt;=0,0,MIN(H160+I160,Plan!$E$24+G160))</f>
        <v/>
      </c>
      <c r="K160" s="44">
        <f>MAX(0,H160+I160-J160)</f>
        <v/>
      </c>
      <c r="L160" s="45">
        <f>G160-IF(H160&lt;=0,0,MAX(0,J160-Plan!$E$24))</f>
        <v/>
      </c>
      <c r="M160" s="42">
        <f>P159</f>
        <v/>
      </c>
      <c r="N160" s="43">
        <f>IF(M160&gt;0,M160*Plan!$D$25/100/12,0)</f>
        <v/>
      </c>
      <c r="O160" s="42">
        <f>IF(M160&lt;=0,0,MIN(M160+N160,Plan!$E$25+L160))</f>
        <v/>
      </c>
      <c r="P160" s="44">
        <f>MAX(0,M160+N160-O160)</f>
        <v/>
      </c>
      <c r="Q160" s="45">
        <f>L160-IF(M160&lt;=0,0,MAX(0,O160-Plan!$E$25))</f>
        <v/>
      </c>
      <c r="R160" s="42">
        <f>U159</f>
        <v/>
      </c>
      <c r="S160" s="43">
        <f>IF(R160&gt;0,R160*Plan!$D$26/100/12,0)</f>
        <v/>
      </c>
      <c r="T160" s="42">
        <f>IF(R160&lt;=0,0,MIN(R160+S160,Plan!$E$26+Q160))</f>
        <v/>
      </c>
      <c r="U160" s="44">
        <f>MAX(0,R160+S160-T160)</f>
        <v/>
      </c>
      <c r="V160" s="45">
        <f>Q160-IF(R160&lt;=0,0,MAX(0,T160-Plan!$E$26))</f>
        <v/>
      </c>
      <c r="W160" s="42">
        <f>Z159</f>
        <v/>
      </c>
      <c r="X160" s="43">
        <f>IF(W160&gt;0,W160*Plan!$D$27/100/12,0)</f>
        <v/>
      </c>
      <c r="Y160" s="42">
        <f>IF(W160&lt;=0,0,MIN(W160+X160,Plan!$E$27+V160))</f>
        <v/>
      </c>
      <c r="Z160" s="44">
        <f>MAX(0,W160+X160-Y160)</f>
        <v/>
      </c>
      <c r="AA160" s="45">
        <f>V160-IF(W160&lt;=0,0,MAX(0,Y160-Plan!$E$27))</f>
        <v/>
      </c>
      <c r="AB160" s="42">
        <f>AE159</f>
        <v/>
      </c>
      <c r="AC160" s="43">
        <f>IF(AB160&gt;0,AB160*Plan!$D$28/100/12,0)</f>
        <v/>
      </c>
      <c r="AD160" s="42">
        <f>IF(AB160&lt;=0,0,MIN(AB160+AC160,Plan!$E$28+AA160))</f>
        <v/>
      </c>
      <c r="AE160" s="44">
        <f>MAX(0,AB160+AC160-AD160)</f>
        <v/>
      </c>
      <c r="AF160" s="45">
        <f>AA160-IF(AB160&lt;=0,0,MAX(0,AD160-Plan!$E$28))</f>
        <v/>
      </c>
      <c r="AG160" s="44">
        <f>F160+K160+P160+U160+Z160+AE160</f>
        <v/>
      </c>
    </row>
    <row r="161">
      <c r="A161" s="46" t="n">
        <v>154</v>
      </c>
      <c r="B161" s="47">
        <f>EDATE(Plan!$C$18,153)</f>
        <v/>
      </c>
      <c r="C161" s="48">
        <f>F160</f>
        <v/>
      </c>
      <c r="D161" s="49">
        <f>IF(C161&gt;0,C161*Plan!$D$23/100/12,0)</f>
        <v/>
      </c>
      <c r="E161" s="48">
        <f>IF(C161&lt;=0,0,MIN(C161+D161,Plan!$E$23+(Plan!$C$17+IF(C161&lt;=0,Plan!$E$23,MAX(0,Plan!$E$23-(C161+D161)))+IF(H161&lt;=0,Plan!$E$24,MAX(0,Plan!$E$24-(H161+I161)))+IF(M161&lt;=0,Plan!$E$25,MAX(0,Plan!$E$25-(M161+N161)))+IF(R161&lt;=0,Plan!$E$26,MAX(0,Plan!$E$26-(R161+S161)))+IF(W161&lt;=0,Plan!$E$27,MAX(0,Plan!$E$27-(W161+X161)))+IF(AB161&lt;=0,Plan!$E$28,MAX(0,Plan!$E$28-(AB161+AC161))))))</f>
        <v/>
      </c>
      <c r="F161" s="50">
        <f>MAX(0,C161+D161-E161)</f>
        <v/>
      </c>
      <c r="G161" s="51">
        <f>(Plan!$C$17+IF(C161&lt;=0,Plan!$E$23,MAX(0,Plan!$E$23-(C161+D161)))+IF(H161&lt;=0,Plan!$E$24,MAX(0,Plan!$E$24-(H161+I161)))+IF(M161&lt;=0,Plan!$E$25,MAX(0,Plan!$E$25-(M161+N161)))+IF(R161&lt;=0,Plan!$E$26,MAX(0,Plan!$E$26-(R161+S161)))+IF(W161&lt;=0,Plan!$E$27,MAX(0,Plan!$E$27-(W161+X161)))+IF(AB161&lt;=0,Plan!$E$28,MAX(0,Plan!$E$28-(AB161+AC161))))-IF(C161&lt;=0,0,MAX(0,E161-Plan!$E$23))</f>
        <v/>
      </c>
      <c r="H161" s="48">
        <f>K160</f>
        <v/>
      </c>
      <c r="I161" s="49">
        <f>IF(H161&gt;0,H161*Plan!$D$24/100/12,0)</f>
        <v/>
      </c>
      <c r="J161" s="48">
        <f>IF(H161&lt;=0,0,MIN(H161+I161,Plan!$E$24+G161))</f>
        <v/>
      </c>
      <c r="K161" s="50">
        <f>MAX(0,H161+I161-J161)</f>
        <v/>
      </c>
      <c r="L161" s="51">
        <f>G161-IF(H161&lt;=0,0,MAX(0,J161-Plan!$E$24))</f>
        <v/>
      </c>
      <c r="M161" s="48">
        <f>P160</f>
        <v/>
      </c>
      <c r="N161" s="49">
        <f>IF(M161&gt;0,M161*Plan!$D$25/100/12,0)</f>
        <v/>
      </c>
      <c r="O161" s="48">
        <f>IF(M161&lt;=0,0,MIN(M161+N161,Plan!$E$25+L161))</f>
        <v/>
      </c>
      <c r="P161" s="50">
        <f>MAX(0,M161+N161-O161)</f>
        <v/>
      </c>
      <c r="Q161" s="51">
        <f>L161-IF(M161&lt;=0,0,MAX(0,O161-Plan!$E$25))</f>
        <v/>
      </c>
      <c r="R161" s="48">
        <f>U160</f>
        <v/>
      </c>
      <c r="S161" s="49">
        <f>IF(R161&gt;0,R161*Plan!$D$26/100/12,0)</f>
        <v/>
      </c>
      <c r="T161" s="48">
        <f>IF(R161&lt;=0,0,MIN(R161+S161,Plan!$E$26+Q161))</f>
        <v/>
      </c>
      <c r="U161" s="50">
        <f>MAX(0,R161+S161-T161)</f>
        <v/>
      </c>
      <c r="V161" s="51">
        <f>Q161-IF(R161&lt;=0,0,MAX(0,T161-Plan!$E$26))</f>
        <v/>
      </c>
      <c r="W161" s="48">
        <f>Z160</f>
        <v/>
      </c>
      <c r="X161" s="49">
        <f>IF(W161&gt;0,W161*Plan!$D$27/100/12,0)</f>
        <v/>
      </c>
      <c r="Y161" s="48">
        <f>IF(W161&lt;=0,0,MIN(W161+X161,Plan!$E$27+V161))</f>
        <v/>
      </c>
      <c r="Z161" s="50">
        <f>MAX(0,W161+X161-Y161)</f>
        <v/>
      </c>
      <c r="AA161" s="51">
        <f>V161-IF(W161&lt;=0,0,MAX(0,Y161-Plan!$E$27))</f>
        <v/>
      </c>
      <c r="AB161" s="48">
        <f>AE160</f>
        <v/>
      </c>
      <c r="AC161" s="49">
        <f>IF(AB161&gt;0,AB161*Plan!$D$28/100/12,0)</f>
        <v/>
      </c>
      <c r="AD161" s="48">
        <f>IF(AB161&lt;=0,0,MIN(AB161+AC161,Plan!$E$28+AA161))</f>
        <v/>
      </c>
      <c r="AE161" s="50">
        <f>MAX(0,AB161+AC161-AD161)</f>
        <v/>
      </c>
      <c r="AF161" s="51">
        <f>AA161-IF(AB161&lt;=0,0,MAX(0,AD161-Plan!$E$28))</f>
        <v/>
      </c>
      <c r="AG161" s="50">
        <f>F161+K161+P161+U161+Z161+AE161</f>
        <v/>
      </c>
    </row>
    <row r="162">
      <c r="A162" s="40" t="n">
        <v>155</v>
      </c>
      <c r="B162" s="41">
        <f>EDATE(Plan!$C$18,154)</f>
        <v/>
      </c>
      <c r="C162" s="42">
        <f>F161</f>
        <v/>
      </c>
      <c r="D162" s="43">
        <f>IF(C162&gt;0,C162*Plan!$D$23/100/12,0)</f>
        <v/>
      </c>
      <c r="E162" s="42">
        <f>IF(C162&lt;=0,0,MIN(C162+D162,Plan!$E$23+(Plan!$C$17+IF(C162&lt;=0,Plan!$E$23,MAX(0,Plan!$E$23-(C162+D162)))+IF(H162&lt;=0,Plan!$E$24,MAX(0,Plan!$E$24-(H162+I162)))+IF(M162&lt;=0,Plan!$E$25,MAX(0,Plan!$E$25-(M162+N162)))+IF(R162&lt;=0,Plan!$E$26,MAX(0,Plan!$E$26-(R162+S162)))+IF(W162&lt;=0,Plan!$E$27,MAX(0,Plan!$E$27-(W162+X162)))+IF(AB162&lt;=0,Plan!$E$28,MAX(0,Plan!$E$28-(AB162+AC162))))))</f>
        <v/>
      </c>
      <c r="F162" s="44">
        <f>MAX(0,C162+D162-E162)</f>
        <v/>
      </c>
      <c r="G162" s="45">
        <f>(Plan!$C$17+IF(C162&lt;=0,Plan!$E$23,MAX(0,Plan!$E$23-(C162+D162)))+IF(H162&lt;=0,Plan!$E$24,MAX(0,Plan!$E$24-(H162+I162)))+IF(M162&lt;=0,Plan!$E$25,MAX(0,Plan!$E$25-(M162+N162)))+IF(R162&lt;=0,Plan!$E$26,MAX(0,Plan!$E$26-(R162+S162)))+IF(W162&lt;=0,Plan!$E$27,MAX(0,Plan!$E$27-(W162+X162)))+IF(AB162&lt;=0,Plan!$E$28,MAX(0,Plan!$E$28-(AB162+AC162))))-IF(C162&lt;=0,0,MAX(0,E162-Plan!$E$23))</f>
        <v/>
      </c>
      <c r="H162" s="42">
        <f>K161</f>
        <v/>
      </c>
      <c r="I162" s="43">
        <f>IF(H162&gt;0,H162*Plan!$D$24/100/12,0)</f>
        <v/>
      </c>
      <c r="J162" s="42">
        <f>IF(H162&lt;=0,0,MIN(H162+I162,Plan!$E$24+G162))</f>
        <v/>
      </c>
      <c r="K162" s="44">
        <f>MAX(0,H162+I162-J162)</f>
        <v/>
      </c>
      <c r="L162" s="45">
        <f>G162-IF(H162&lt;=0,0,MAX(0,J162-Plan!$E$24))</f>
        <v/>
      </c>
      <c r="M162" s="42">
        <f>P161</f>
        <v/>
      </c>
      <c r="N162" s="43">
        <f>IF(M162&gt;0,M162*Plan!$D$25/100/12,0)</f>
        <v/>
      </c>
      <c r="O162" s="42">
        <f>IF(M162&lt;=0,0,MIN(M162+N162,Plan!$E$25+L162))</f>
        <v/>
      </c>
      <c r="P162" s="44">
        <f>MAX(0,M162+N162-O162)</f>
        <v/>
      </c>
      <c r="Q162" s="45">
        <f>L162-IF(M162&lt;=0,0,MAX(0,O162-Plan!$E$25))</f>
        <v/>
      </c>
      <c r="R162" s="42">
        <f>U161</f>
        <v/>
      </c>
      <c r="S162" s="43">
        <f>IF(R162&gt;0,R162*Plan!$D$26/100/12,0)</f>
        <v/>
      </c>
      <c r="T162" s="42">
        <f>IF(R162&lt;=0,0,MIN(R162+S162,Plan!$E$26+Q162))</f>
        <v/>
      </c>
      <c r="U162" s="44">
        <f>MAX(0,R162+S162-T162)</f>
        <v/>
      </c>
      <c r="V162" s="45">
        <f>Q162-IF(R162&lt;=0,0,MAX(0,T162-Plan!$E$26))</f>
        <v/>
      </c>
      <c r="W162" s="42">
        <f>Z161</f>
        <v/>
      </c>
      <c r="X162" s="43">
        <f>IF(W162&gt;0,W162*Plan!$D$27/100/12,0)</f>
        <v/>
      </c>
      <c r="Y162" s="42">
        <f>IF(W162&lt;=0,0,MIN(W162+X162,Plan!$E$27+V162))</f>
        <v/>
      </c>
      <c r="Z162" s="44">
        <f>MAX(0,W162+X162-Y162)</f>
        <v/>
      </c>
      <c r="AA162" s="45">
        <f>V162-IF(W162&lt;=0,0,MAX(0,Y162-Plan!$E$27))</f>
        <v/>
      </c>
      <c r="AB162" s="42">
        <f>AE161</f>
        <v/>
      </c>
      <c r="AC162" s="43">
        <f>IF(AB162&gt;0,AB162*Plan!$D$28/100/12,0)</f>
        <v/>
      </c>
      <c r="AD162" s="42">
        <f>IF(AB162&lt;=0,0,MIN(AB162+AC162,Plan!$E$28+AA162))</f>
        <v/>
      </c>
      <c r="AE162" s="44">
        <f>MAX(0,AB162+AC162-AD162)</f>
        <v/>
      </c>
      <c r="AF162" s="45">
        <f>AA162-IF(AB162&lt;=0,0,MAX(0,AD162-Plan!$E$28))</f>
        <v/>
      </c>
      <c r="AG162" s="44">
        <f>F162+K162+P162+U162+Z162+AE162</f>
        <v/>
      </c>
    </row>
    <row r="163">
      <c r="A163" s="46" t="n">
        <v>156</v>
      </c>
      <c r="B163" s="47">
        <f>EDATE(Plan!$C$18,155)</f>
        <v/>
      </c>
      <c r="C163" s="48">
        <f>F162</f>
        <v/>
      </c>
      <c r="D163" s="49">
        <f>IF(C163&gt;0,C163*Plan!$D$23/100/12,0)</f>
        <v/>
      </c>
      <c r="E163" s="48">
        <f>IF(C163&lt;=0,0,MIN(C163+D163,Plan!$E$23+(Plan!$C$17+IF(C163&lt;=0,Plan!$E$23,MAX(0,Plan!$E$23-(C163+D163)))+IF(H163&lt;=0,Plan!$E$24,MAX(0,Plan!$E$24-(H163+I163)))+IF(M163&lt;=0,Plan!$E$25,MAX(0,Plan!$E$25-(M163+N163)))+IF(R163&lt;=0,Plan!$E$26,MAX(0,Plan!$E$26-(R163+S163)))+IF(W163&lt;=0,Plan!$E$27,MAX(0,Plan!$E$27-(W163+X163)))+IF(AB163&lt;=0,Plan!$E$28,MAX(0,Plan!$E$28-(AB163+AC163))))))</f>
        <v/>
      </c>
      <c r="F163" s="50">
        <f>MAX(0,C163+D163-E163)</f>
        <v/>
      </c>
      <c r="G163" s="51">
        <f>(Plan!$C$17+IF(C163&lt;=0,Plan!$E$23,MAX(0,Plan!$E$23-(C163+D163)))+IF(H163&lt;=0,Plan!$E$24,MAX(0,Plan!$E$24-(H163+I163)))+IF(M163&lt;=0,Plan!$E$25,MAX(0,Plan!$E$25-(M163+N163)))+IF(R163&lt;=0,Plan!$E$26,MAX(0,Plan!$E$26-(R163+S163)))+IF(W163&lt;=0,Plan!$E$27,MAX(0,Plan!$E$27-(W163+X163)))+IF(AB163&lt;=0,Plan!$E$28,MAX(0,Plan!$E$28-(AB163+AC163))))-IF(C163&lt;=0,0,MAX(0,E163-Plan!$E$23))</f>
        <v/>
      </c>
      <c r="H163" s="48">
        <f>K162</f>
        <v/>
      </c>
      <c r="I163" s="49">
        <f>IF(H163&gt;0,H163*Plan!$D$24/100/12,0)</f>
        <v/>
      </c>
      <c r="J163" s="48">
        <f>IF(H163&lt;=0,0,MIN(H163+I163,Plan!$E$24+G163))</f>
        <v/>
      </c>
      <c r="K163" s="50">
        <f>MAX(0,H163+I163-J163)</f>
        <v/>
      </c>
      <c r="L163" s="51">
        <f>G163-IF(H163&lt;=0,0,MAX(0,J163-Plan!$E$24))</f>
        <v/>
      </c>
      <c r="M163" s="48">
        <f>P162</f>
        <v/>
      </c>
      <c r="N163" s="49">
        <f>IF(M163&gt;0,M163*Plan!$D$25/100/12,0)</f>
        <v/>
      </c>
      <c r="O163" s="48">
        <f>IF(M163&lt;=0,0,MIN(M163+N163,Plan!$E$25+L163))</f>
        <v/>
      </c>
      <c r="P163" s="50">
        <f>MAX(0,M163+N163-O163)</f>
        <v/>
      </c>
      <c r="Q163" s="51">
        <f>L163-IF(M163&lt;=0,0,MAX(0,O163-Plan!$E$25))</f>
        <v/>
      </c>
      <c r="R163" s="48">
        <f>U162</f>
        <v/>
      </c>
      <c r="S163" s="49">
        <f>IF(R163&gt;0,R163*Plan!$D$26/100/12,0)</f>
        <v/>
      </c>
      <c r="T163" s="48">
        <f>IF(R163&lt;=0,0,MIN(R163+S163,Plan!$E$26+Q163))</f>
        <v/>
      </c>
      <c r="U163" s="50">
        <f>MAX(0,R163+S163-T163)</f>
        <v/>
      </c>
      <c r="V163" s="51">
        <f>Q163-IF(R163&lt;=0,0,MAX(0,T163-Plan!$E$26))</f>
        <v/>
      </c>
      <c r="W163" s="48">
        <f>Z162</f>
        <v/>
      </c>
      <c r="X163" s="49">
        <f>IF(W163&gt;0,W163*Plan!$D$27/100/12,0)</f>
        <v/>
      </c>
      <c r="Y163" s="48">
        <f>IF(W163&lt;=0,0,MIN(W163+X163,Plan!$E$27+V163))</f>
        <v/>
      </c>
      <c r="Z163" s="50">
        <f>MAX(0,W163+X163-Y163)</f>
        <v/>
      </c>
      <c r="AA163" s="51">
        <f>V163-IF(W163&lt;=0,0,MAX(0,Y163-Plan!$E$27))</f>
        <v/>
      </c>
      <c r="AB163" s="48">
        <f>AE162</f>
        <v/>
      </c>
      <c r="AC163" s="49">
        <f>IF(AB163&gt;0,AB163*Plan!$D$28/100/12,0)</f>
        <v/>
      </c>
      <c r="AD163" s="48">
        <f>IF(AB163&lt;=0,0,MIN(AB163+AC163,Plan!$E$28+AA163))</f>
        <v/>
      </c>
      <c r="AE163" s="50">
        <f>MAX(0,AB163+AC163-AD163)</f>
        <v/>
      </c>
      <c r="AF163" s="51">
        <f>AA163-IF(AB163&lt;=0,0,MAX(0,AD163-Plan!$E$28))</f>
        <v/>
      </c>
      <c r="AG163" s="50">
        <f>F163+K163+P163+U163+Z163+AE163</f>
        <v/>
      </c>
    </row>
    <row r="164">
      <c r="A164" s="40" t="n">
        <v>157</v>
      </c>
      <c r="B164" s="41">
        <f>EDATE(Plan!$C$18,156)</f>
        <v/>
      </c>
      <c r="C164" s="42">
        <f>F163</f>
        <v/>
      </c>
      <c r="D164" s="43">
        <f>IF(C164&gt;0,C164*Plan!$D$23/100/12,0)</f>
        <v/>
      </c>
      <c r="E164" s="42">
        <f>IF(C164&lt;=0,0,MIN(C164+D164,Plan!$E$23+(Plan!$C$17+IF(C164&lt;=0,Plan!$E$23,MAX(0,Plan!$E$23-(C164+D164)))+IF(H164&lt;=0,Plan!$E$24,MAX(0,Plan!$E$24-(H164+I164)))+IF(M164&lt;=0,Plan!$E$25,MAX(0,Plan!$E$25-(M164+N164)))+IF(R164&lt;=0,Plan!$E$26,MAX(0,Plan!$E$26-(R164+S164)))+IF(W164&lt;=0,Plan!$E$27,MAX(0,Plan!$E$27-(W164+X164)))+IF(AB164&lt;=0,Plan!$E$28,MAX(0,Plan!$E$28-(AB164+AC164))))))</f>
        <v/>
      </c>
      <c r="F164" s="44">
        <f>MAX(0,C164+D164-E164)</f>
        <v/>
      </c>
      <c r="G164" s="45">
        <f>(Plan!$C$17+IF(C164&lt;=0,Plan!$E$23,MAX(0,Plan!$E$23-(C164+D164)))+IF(H164&lt;=0,Plan!$E$24,MAX(0,Plan!$E$24-(H164+I164)))+IF(M164&lt;=0,Plan!$E$25,MAX(0,Plan!$E$25-(M164+N164)))+IF(R164&lt;=0,Plan!$E$26,MAX(0,Plan!$E$26-(R164+S164)))+IF(W164&lt;=0,Plan!$E$27,MAX(0,Plan!$E$27-(W164+X164)))+IF(AB164&lt;=0,Plan!$E$28,MAX(0,Plan!$E$28-(AB164+AC164))))-IF(C164&lt;=0,0,MAX(0,E164-Plan!$E$23))</f>
        <v/>
      </c>
      <c r="H164" s="42">
        <f>K163</f>
        <v/>
      </c>
      <c r="I164" s="43">
        <f>IF(H164&gt;0,H164*Plan!$D$24/100/12,0)</f>
        <v/>
      </c>
      <c r="J164" s="42">
        <f>IF(H164&lt;=0,0,MIN(H164+I164,Plan!$E$24+G164))</f>
        <v/>
      </c>
      <c r="K164" s="44">
        <f>MAX(0,H164+I164-J164)</f>
        <v/>
      </c>
      <c r="L164" s="45">
        <f>G164-IF(H164&lt;=0,0,MAX(0,J164-Plan!$E$24))</f>
        <v/>
      </c>
      <c r="M164" s="42">
        <f>P163</f>
        <v/>
      </c>
      <c r="N164" s="43">
        <f>IF(M164&gt;0,M164*Plan!$D$25/100/12,0)</f>
        <v/>
      </c>
      <c r="O164" s="42">
        <f>IF(M164&lt;=0,0,MIN(M164+N164,Plan!$E$25+L164))</f>
        <v/>
      </c>
      <c r="P164" s="44">
        <f>MAX(0,M164+N164-O164)</f>
        <v/>
      </c>
      <c r="Q164" s="45">
        <f>L164-IF(M164&lt;=0,0,MAX(0,O164-Plan!$E$25))</f>
        <v/>
      </c>
      <c r="R164" s="42">
        <f>U163</f>
        <v/>
      </c>
      <c r="S164" s="43">
        <f>IF(R164&gt;0,R164*Plan!$D$26/100/12,0)</f>
        <v/>
      </c>
      <c r="T164" s="42">
        <f>IF(R164&lt;=0,0,MIN(R164+S164,Plan!$E$26+Q164))</f>
        <v/>
      </c>
      <c r="U164" s="44">
        <f>MAX(0,R164+S164-T164)</f>
        <v/>
      </c>
      <c r="V164" s="45">
        <f>Q164-IF(R164&lt;=0,0,MAX(0,T164-Plan!$E$26))</f>
        <v/>
      </c>
      <c r="W164" s="42">
        <f>Z163</f>
        <v/>
      </c>
      <c r="X164" s="43">
        <f>IF(W164&gt;0,W164*Plan!$D$27/100/12,0)</f>
        <v/>
      </c>
      <c r="Y164" s="42">
        <f>IF(W164&lt;=0,0,MIN(W164+X164,Plan!$E$27+V164))</f>
        <v/>
      </c>
      <c r="Z164" s="44">
        <f>MAX(0,W164+X164-Y164)</f>
        <v/>
      </c>
      <c r="AA164" s="45">
        <f>V164-IF(W164&lt;=0,0,MAX(0,Y164-Plan!$E$27))</f>
        <v/>
      </c>
      <c r="AB164" s="42">
        <f>AE163</f>
        <v/>
      </c>
      <c r="AC164" s="43">
        <f>IF(AB164&gt;0,AB164*Plan!$D$28/100/12,0)</f>
        <v/>
      </c>
      <c r="AD164" s="42">
        <f>IF(AB164&lt;=0,0,MIN(AB164+AC164,Plan!$E$28+AA164))</f>
        <v/>
      </c>
      <c r="AE164" s="44">
        <f>MAX(0,AB164+AC164-AD164)</f>
        <v/>
      </c>
      <c r="AF164" s="45">
        <f>AA164-IF(AB164&lt;=0,0,MAX(0,AD164-Plan!$E$28))</f>
        <v/>
      </c>
      <c r="AG164" s="44">
        <f>F164+K164+P164+U164+Z164+AE164</f>
        <v/>
      </c>
    </row>
    <row r="165">
      <c r="A165" s="46" t="n">
        <v>158</v>
      </c>
      <c r="B165" s="47">
        <f>EDATE(Plan!$C$18,157)</f>
        <v/>
      </c>
      <c r="C165" s="48">
        <f>F164</f>
        <v/>
      </c>
      <c r="D165" s="49">
        <f>IF(C165&gt;0,C165*Plan!$D$23/100/12,0)</f>
        <v/>
      </c>
      <c r="E165" s="48">
        <f>IF(C165&lt;=0,0,MIN(C165+D165,Plan!$E$23+(Plan!$C$17+IF(C165&lt;=0,Plan!$E$23,MAX(0,Plan!$E$23-(C165+D165)))+IF(H165&lt;=0,Plan!$E$24,MAX(0,Plan!$E$24-(H165+I165)))+IF(M165&lt;=0,Plan!$E$25,MAX(0,Plan!$E$25-(M165+N165)))+IF(R165&lt;=0,Plan!$E$26,MAX(0,Plan!$E$26-(R165+S165)))+IF(W165&lt;=0,Plan!$E$27,MAX(0,Plan!$E$27-(W165+X165)))+IF(AB165&lt;=0,Plan!$E$28,MAX(0,Plan!$E$28-(AB165+AC165))))))</f>
        <v/>
      </c>
      <c r="F165" s="50">
        <f>MAX(0,C165+D165-E165)</f>
        <v/>
      </c>
      <c r="G165" s="51">
        <f>(Plan!$C$17+IF(C165&lt;=0,Plan!$E$23,MAX(0,Plan!$E$23-(C165+D165)))+IF(H165&lt;=0,Plan!$E$24,MAX(0,Plan!$E$24-(H165+I165)))+IF(M165&lt;=0,Plan!$E$25,MAX(0,Plan!$E$25-(M165+N165)))+IF(R165&lt;=0,Plan!$E$26,MAX(0,Plan!$E$26-(R165+S165)))+IF(W165&lt;=0,Plan!$E$27,MAX(0,Plan!$E$27-(W165+X165)))+IF(AB165&lt;=0,Plan!$E$28,MAX(0,Plan!$E$28-(AB165+AC165))))-IF(C165&lt;=0,0,MAX(0,E165-Plan!$E$23))</f>
        <v/>
      </c>
      <c r="H165" s="48">
        <f>K164</f>
        <v/>
      </c>
      <c r="I165" s="49">
        <f>IF(H165&gt;0,H165*Plan!$D$24/100/12,0)</f>
        <v/>
      </c>
      <c r="J165" s="48">
        <f>IF(H165&lt;=0,0,MIN(H165+I165,Plan!$E$24+G165))</f>
        <v/>
      </c>
      <c r="K165" s="50">
        <f>MAX(0,H165+I165-J165)</f>
        <v/>
      </c>
      <c r="L165" s="51">
        <f>G165-IF(H165&lt;=0,0,MAX(0,J165-Plan!$E$24))</f>
        <v/>
      </c>
      <c r="M165" s="48">
        <f>P164</f>
        <v/>
      </c>
      <c r="N165" s="49">
        <f>IF(M165&gt;0,M165*Plan!$D$25/100/12,0)</f>
        <v/>
      </c>
      <c r="O165" s="48">
        <f>IF(M165&lt;=0,0,MIN(M165+N165,Plan!$E$25+L165))</f>
        <v/>
      </c>
      <c r="P165" s="50">
        <f>MAX(0,M165+N165-O165)</f>
        <v/>
      </c>
      <c r="Q165" s="51">
        <f>L165-IF(M165&lt;=0,0,MAX(0,O165-Plan!$E$25))</f>
        <v/>
      </c>
      <c r="R165" s="48">
        <f>U164</f>
        <v/>
      </c>
      <c r="S165" s="49">
        <f>IF(R165&gt;0,R165*Plan!$D$26/100/12,0)</f>
        <v/>
      </c>
      <c r="T165" s="48">
        <f>IF(R165&lt;=0,0,MIN(R165+S165,Plan!$E$26+Q165))</f>
        <v/>
      </c>
      <c r="U165" s="50">
        <f>MAX(0,R165+S165-T165)</f>
        <v/>
      </c>
      <c r="V165" s="51">
        <f>Q165-IF(R165&lt;=0,0,MAX(0,T165-Plan!$E$26))</f>
        <v/>
      </c>
      <c r="W165" s="48">
        <f>Z164</f>
        <v/>
      </c>
      <c r="X165" s="49">
        <f>IF(W165&gt;0,W165*Plan!$D$27/100/12,0)</f>
        <v/>
      </c>
      <c r="Y165" s="48">
        <f>IF(W165&lt;=0,0,MIN(W165+X165,Plan!$E$27+V165))</f>
        <v/>
      </c>
      <c r="Z165" s="50">
        <f>MAX(0,W165+X165-Y165)</f>
        <v/>
      </c>
      <c r="AA165" s="51">
        <f>V165-IF(W165&lt;=0,0,MAX(0,Y165-Plan!$E$27))</f>
        <v/>
      </c>
      <c r="AB165" s="48">
        <f>AE164</f>
        <v/>
      </c>
      <c r="AC165" s="49">
        <f>IF(AB165&gt;0,AB165*Plan!$D$28/100/12,0)</f>
        <v/>
      </c>
      <c r="AD165" s="48">
        <f>IF(AB165&lt;=0,0,MIN(AB165+AC165,Plan!$E$28+AA165))</f>
        <v/>
      </c>
      <c r="AE165" s="50">
        <f>MAX(0,AB165+AC165-AD165)</f>
        <v/>
      </c>
      <c r="AF165" s="51">
        <f>AA165-IF(AB165&lt;=0,0,MAX(0,AD165-Plan!$E$28))</f>
        <v/>
      </c>
      <c r="AG165" s="50">
        <f>F165+K165+P165+U165+Z165+AE165</f>
        <v/>
      </c>
    </row>
    <row r="166">
      <c r="A166" s="40" t="n">
        <v>159</v>
      </c>
      <c r="B166" s="41">
        <f>EDATE(Plan!$C$18,158)</f>
        <v/>
      </c>
      <c r="C166" s="42">
        <f>F165</f>
        <v/>
      </c>
      <c r="D166" s="43">
        <f>IF(C166&gt;0,C166*Plan!$D$23/100/12,0)</f>
        <v/>
      </c>
      <c r="E166" s="42">
        <f>IF(C166&lt;=0,0,MIN(C166+D166,Plan!$E$23+(Plan!$C$17+IF(C166&lt;=0,Plan!$E$23,MAX(0,Plan!$E$23-(C166+D166)))+IF(H166&lt;=0,Plan!$E$24,MAX(0,Plan!$E$24-(H166+I166)))+IF(M166&lt;=0,Plan!$E$25,MAX(0,Plan!$E$25-(M166+N166)))+IF(R166&lt;=0,Plan!$E$26,MAX(0,Plan!$E$26-(R166+S166)))+IF(W166&lt;=0,Plan!$E$27,MAX(0,Plan!$E$27-(W166+X166)))+IF(AB166&lt;=0,Plan!$E$28,MAX(0,Plan!$E$28-(AB166+AC166))))))</f>
        <v/>
      </c>
      <c r="F166" s="44">
        <f>MAX(0,C166+D166-E166)</f>
        <v/>
      </c>
      <c r="G166" s="45">
        <f>(Plan!$C$17+IF(C166&lt;=0,Plan!$E$23,MAX(0,Plan!$E$23-(C166+D166)))+IF(H166&lt;=0,Plan!$E$24,MAX(0,Plan!$E$24-(H166+I166)))+IF(M166&lt;=0,Plan!$E$25,MAX(0,Plan!$E$25-(M166+N166)))+IF(R166&lt;=0,Plan!$E$26,MAX(0,Plan!$E$26-(R166+S166)))+IF(W166&lt;=0,Plan!$E$27,MAX(0,Plan!$E$27-(W166+X166)))+IF(AB166&lt;=0,Plan!$E$28,MAX(0,Plan!$E$28-(AB166+AC166))))-IF(C166&lt;=0,0,MAX(0,E166-Plan!$E$23))</f>
        <v/>
      </c>
      <c r="H166" s="42">
        <f>K165</f>
        <v/>
      </c>
      <c r="I166" s="43">
        <f>IF(H166&gt;0,H166*Plan!$D$24/100/12,0)</f>
        <v/>
      </c>
      <c r="J166" s="42">
        <f>IF(H166&lt;=0,0,MIN(H166+I166,Plan!$E$24+G166))</f>
        <v/>
      </c>
      <c r="K166" s="44">
        <f>MAX(0,H166+I166-J166)</f>
        <v/>
      </c>
      <c r="L166" s="45">
        <f>G166-IF(H166&lt;=0,0,MAX(0,J166-Plan!$E$24))</f>
        <v/>
      </c>
      <c r="M166" s="42">
        <f>P165</f>
        <v/>
      </c>
      <c r="N166" s="43">
        <f>IF(M166&gt;0,M166*Plan!$D$25/100/12,0)</f>
        <v/>
      </c>
      <c r="O166" s="42">
        <f>IF(M166&lt;=0,0,MIN(M166+N166,Plan!$E$25+L166))</f>
        <v/>
      </c>
      <c r="P166" s="44">
        <f>MAX(0,M166+N166-O166)</f>
        <v/>
      </c>
      <c r="Q166" s="45">
        <f>L166-IF(M166&lt;=0,0,MAX(0,O166-Plan!$E$25))</f>
        <v/>
      </c>
      <c r="R166" s="42">
        <f>U165</f>
        <v/>
      </c>
      <c r="S166" s="43">
        <f>IF(R166&gt;0,R166*Plan!$D$26/100/12,0)</f>
        <v/>
      </c>
      <c r="T166" s="42">
        <f>IF(R166&lt;=0,0,MIN(R166+S166,Plan!$E$26+Q166))</f>
        <v/>
      </c>
      <c r="U166" s="44">
        <f>MAX(0,R166+S166-T166)</f>
        <v/>
      </c>
      <c r="V166" s="45">
        <f>Q166-IF(R166&lt;=0,0,MAX(0,T166-Plan!$E$26))</f>
        <v/>
      </c>
      <c r="W166" s="42">
        <f>Z165</f>
        <v/>
      </c>
      <c r="X166" s="43">
        <f>IF(W166&gt;0,W166*Plan!$D$27/100/12,0)</f>
        <v/>
      </c>
      <c r="Y166" s="42">
        <f>IF(W166&lt;=0,0,MIN(W166+X166,Plan!$E$27+V166))</f>
        <v/>
      </c>
      <c r="Z166" s="44">
        <f>MAX(0,W166+X166-Y166)</f>
        <v/>
      </c>
      <c r="AA166" s="45">
        <f>V166-IF(W166&lt;=0,0,MAX(0,Y166-Plan!$E$27))</f>
        <v/>
      </c>
      <c r="AB166" s="42">
        <f>AE165</f>
        <v/>
      </c>
      <c r="AC166" s="43">
        <f>IF(AB166&gt;0,AB166*Plan!$D$28/100/12,0)</f>
        <v/>
      </c>
      <c r="AD166" s="42">
        <f>IF(AB166&lt;=0,0,MIN(AB166+AC166,Plan!$E$28+AA166))</f>
        <v/>
      </c>
      <c r="AE166" s="44">
        <f>MAX(0,AB166+AC166-AD166)</f>
        <v/>
      </c>
      <c r="AF166" s="45">
        <f>AA166-IF(AB166&lt;=0,0,MAX(0,AD166-Plan!$E$28))</f>
        <v/>
      </c>
      <c r="AG166" s="44">
        <f>F166+K166+P166+U166+Z166+AE166</f>
        <v/>
      </c>
    </row>
    <row r="167">
      <c r="A167" s="46" t="n">
        <v>160</v>
      </c>
      <c r="B167" s="47">
        <f>EDATE(Plan!$C$18,159)</f>
        <v/>
      </c>
      <c r="C167" s="48">
        <f>F166</f>
        <v/>
      </c>
      <c r="D167" s="49">
        <f>IF(C167&gt;0,C167*Plan!$D$23/100/12,0)</f>
        <v/>
      </c>
      <c r="E167" s="48">
        <f>IF(C167&lt;=0,0,MIN(C167+D167,Plan!$E$23+(Plan!$C$17+IF(C167&lt;=0,Plan!$E$23,MAX(0,Plan!$E$23-(C167+D167)))+IF(H167&lt;=0,Plan!$E$24,MAX(0,Plan!$E$24-(H167+I167)))+IF(M167&lt;=0,Plan!$E$25,MAX(0,Plan!$E$25-(M167+N167)))+IF(R167&lt;=0,Plan!$E$26,MAX(0,Plan!$E$26-(R167+S167)))+IF(W167&lt;=0,Plan!$E$27,MAX(0,Plan!$E$27-(W167+X167)))+IF(AB167&lt;=0,Plan!$E$28,MAX(0,Plan!$E$28-(AB167+AC167))))))</f>
        <v/>
      </c>
      <c r="F167" s="50">
        <f>MAX(0,C167+D167-E167)</f>
        <v/>
      </c>
      <c r="G167" s="51">
        <f>(Plan!$C$17+IF(C167&lt;=0,Plan!$E$23,MAX(0,Plan!$E$23-(C167+D167)))+IF(H167&lt;=0,Plan!$E$24,MAX(0,Plan!$E$24-(H167+I167)))+IF(M167&lt;=0,Plan!$E$25,MAX(0,Plan!$E$25-(M167+N167)))+IF(R167&lt;=0,Plan!$E$26,MAX(0,Plan!$E$26-(R167+S167)))+IF(W167&lt;=0,Plan!$E$27,MAX(0,Plan!$E$27-(W167+X167)))+IF(AB167&lt;=0,Plan!$E$28,MAX(0,Plan!$E$28-(AB167+AC167))))-IF(C167&lt;=0,0,MAX(0,E167-Plan!$E$23))</f>
        <v/>
      </c>
      <c r="H167" s="48">
        <f>K166</f>
        <v/>
      </c>
      <c r="I167" s="49">
        <f>IF(H167&gt;0,H167*Plan!$D$24/100/12,0)</f>
        <v/>
      </c>
      <c r="J167" s="48">
        <f>IF(H167&lt;=0,0,MIN(H167+I167,Plan!$E$24+G167))</f>
        <v/>
      </c>
      <c r="K167" s="50">
        <f>MAX(0,H167+I167-J167)</f>
        <v/>
      </c>
      <c r="L167" s="51">
        <f>G167-IF(H167&lt;=0,0,MAX(0,J167-Plan!$E$24))</f>
        <v/>
      </c>
      <c r="M167" s="48">
        <f>P166</f>
        <v/>
      </c>
      <c r="N167" s="49">
        <f>IF(M167&gt;0,M167*Plan!$D$25/100/12,0)</f>
        <v/>
      </c>
      <c r="O167" s="48">
        <f>IF(M167&lt;=0,0,MIN(M167+N167,Plan!$E$25+L167))</f>
        <v/>
      </c>
      <c r="P167" s="50">
        <f>MAX(0,M167+N167-O167)</f>
        <v/>
      </c>
      <c r="Q167" s="51">
        <f>L167-IF(M167&lt;=0,0,MAX(0,O167-Plan!$E$25))</f>
        <v/>
      </c>
      <c r="R167" s="48">
        <f>U166</f>
        <v/>
      </c>
      <c r="S167" s="49">
        <f>IF(R167&gt;0,R167*Plan!$D$26/100/12,0)</f>
        <v/>
      </c>
      <c r="T167" s="48">
        <f>IF(R167&lt;=0,0,MIN(R167+S167,Plan!$E$26+Q167))</f>
        <v/>
      </c>
      <c r="U167" s="50">
        <f>MAX(0,R167+S167-T167)</f>
        <v/>
      </c>
      <c r="V167" s="51">
        <f>Q167-IF(R167&lt;=0,0,MAX(0,T167-Plan!$E$26))</f>
        <v/>
      </c>
      <c r="W167" s="48">
        <f>Z166</f>
        <v/>
      </c>
      <c r="X167" s="49">
        <f>IF(W167&gt;0,W167*Plan!$D$27/100/12,0)</f>
        <v/>
      </c>
      <c r="Y167" s="48">
        <f>IF(W167&lt;=0,0,MIN(W167+X167,Plan!$E$27+V167))</f>
        <v/>
      </c>
      <c r="Z167" s="50">
        <f>MAX(0,W167+X167-Y167)</f>
        <v/>
      </c>
      <c r="AA167" s="51">
        <f>V167-IF(W167&lt;=0,0,MAX(0,Y167-Plan!$E$27))</f>
        <v/>
      </c>
      <c r="AB167" s="48">
        <f>AE166</f>
        <v/>
      </c>
      <c r="AC167" s="49">
        <f>IF(AB167&gt;0,AB167*Plan!$D$28/100/12,0)</f>
        <v/>
      </c>
      <c r="AD167" s="48">
        <f>IF(AB167&lt;=0,0,MIN(AB167+AC167,Plan!$E$28+AA167))</f>
        <v/>
      </c>
      <c r="AE167" s="50">
        <f>MAX(0,AB167+AC167-AD167)</f>
        <v/>
      </c>
      <c r="AF167" s="51">
        <f>AA167-IF(AB167&lt;=0,0,MAX(0,AD167-Plan!$E$28))</f>
        <v/>
      </c>
      <c r="AG167" s="50">
        <f>F167+K167+P167+U167+Z167+AE167</f>
        <v/>
      </c>
    </row>
    <row r="168">
      <c r="A168" s="40" t="n">
        <v>161</v>
      </c>
      <c r="B168" s="41">
        <f>EDATE(Plan!$C$18,160)</f>
        <v/>
      </c>
      <c r="C168" s="42">
        <f>F167</f>
        <v/>
      </c>
      <c r="D168" s="43">
        <f>IF(C168&gt;0,C168*Plan!$D$23/100/12,0)</f>
        <v/>
      </c>
      <c r="E168" s="42">
        <f>IF(C168&lt;=0,0,MIN(C168+D168,Plan!$E$23+(Plan!$C$17+IF(C168&lt;=0,Plan!$E$23,MAX(0,Plan!$E$23-(C168+D168)))+IF(H168&lt;=0,Plan!$E$24,MAX(0,Plan!$E$24-(H168+I168)))+IF(M168&lt;=0,Plan!$E$25,MAX(0,Plan!$E$25-(M168+N168)))+IF(R168&lt;=0,Plan!$E$26,MAX(0,Plan!$E$26-(R168+S168)))+IF(W168&lt;=0,Plan!$E$27,MAX(0,Plan!$E$27-(W168+X168)))+IF(AB168&lt;=0,Plan!$E$28,MAX(0,Plan!$E$28-(AB168+AC168))))))</f>
        <v/>
      </c>
      <c r="F168" s="44">
        <f>MAX(0,C168+D168-E168)</f>
        <v/>
      </c>
      <c r="G168" s="45">
        <f>(Plan!$C$17+IF(C168&lt;=0,Plan!$E$23,MAX(0,Plan!$E$23-(C168+D168)))+IF(H168&lt;=0,Plan!$E$24,MAX(0,Plan!$E$24-(H168+I168)))+IF(M168&lt;=0,Plan!$E$25,MAX(0,Plan!$E$25-(M168+N168)))+IF(R168&lt;=0,Plan!$E$26,MAX(0,Plan!$E$26-(R168+S168)))+IF(W168&lt;=0,Plan!$E$27,MAX(0,Plan!$E$27-(W168+X168)))+IF(AB168&lt;=0,Plan!$E$28,MAX(0,Plan!$E$28-(AB168+AC168))))-IF(C168&lt;=0,0,MAX(0,E168-Plan!$E$23))</f>
        <v/>
      </c>
      <c r="H168" s="42">
        <f>K167</f>
        <v/>
      </c>
      <c r="I168" s="43">
        <f>IF(H168&gt;0,H168*Plan!$D$24/100/12,0)</f>
        <v/>
      </c>
      <c r="J168" s="42">
        <f>IF(H168&lt;=0,0,MIN(H168+I168,Plan!$E$24+G168))</f>
        <v/>
      </c>
      <c r="K168" s="44">
        <f>MAX(0,H168+I168-J168)</f>
        <v/>
      </c>
      <c r="L168" s="45">
        <f>G168-IF(H168&lt;=0,0,MAX(0,J168-Plan!$E$24))</f>
        <v/>
      </c>
      <c r="M168" s="42">
        <f>P167</f>
        <v/>
      </c>
      <c r="N168" s="43">
        <f>IF(M168&gt;0,M168*Plan!$D$25/100/12,0)</f>
        <v/>
      </c>
      <c r="O168" s="42">
        <f>IF(M168&lt;=0,0,MIN(M168+N168,Plan!$E$25+L168))</f>
        <v/>
      </c>
      <c r="P168" s="44">
        <f>MAX(0,M168+N168-O168)</f>
        <v/>
      </c>
      <c r="Q168" s="45">
        <f>L168-IF(M168&lt;=0,0,MAX(0,O168-Plan!$E$25))</f>
        <v/>
      </c>
      <c r="R168" s="42">
        <f>U167</f>
        <v/>
      </c>
      <c r="S168" s="43">
        <f>IF(R168&gt;0,R168*Plan!$D$26/100/12,0)</f>
        <v/>
      </c>
      <c r="T168" s="42">
        <f>IF(R168&lt;=0,0,MIN(R168+S168,Plan!$E$26+Q168))</f>
        <v/>
      </c>
      <c r="U168" s="44">
        <f>MAX(0,R168+S168-T168)</f>
        <v/>
      </c>
      <c r="V168" s="45">
        <f>Q168-IF(R168&lt;=0,0,MAX(0,T168-Plan!$E$26))</f>
        <v/>
      </c>
      <c r="W168" s="42">
        <f>Z167</f>
        <v/>
      </c>
      <c r="X168" s="43">
        <f>IF(W168&gt;0,W168*Plan!$D$27/100/12,0)</f>
        <v/>
      </c>
      <c r="Y168" s="42">
        <f>IF(W168&lt;=0,0,MIN(W168+X168,Plan!$E$27+V168))</f>
        <v/>
      </c>
      <c r="Z168" s="44">
        <f>MAX(0,W168+X168-Y168)</f>
        <v/>
      </c>
      <c r="AA168" s="45">
        <f>V168-IF(W168&lt;=0,0,MAX(0,Y168-Plan!$E$27))</f>
        <v/>
      </c>
      <c r="AB168" s="42">
        <f>AE167</f>
        <v/>
      </c>
      <c r="AC168" s="43">
        <f>IF(AB168&gt;0,AB168*Plan!$D$28/100/12,0)</f>
        <v/>
      </c>
      <c r="AD168" s="42">
        <f>IF(AB168&lt;=0,0,MIN(AB168+AC168,Plan!$E$28+AA168))</f>
        <v/>
      </c>
      <c r="AE168" s="44">
        <f>MAX(0,AB168+AC168-AD168)</f>
        <v/>
      </c>
      <c r="AF168" s="45">
        <f>AA168-IF(AB168&lt;=0,0,MAX(0,AD168-Plan!$E$28))</f>
        <v/>
      </c>
      <c r="AG168" s="44">
        <f>F168+K168+P168+U168+Z168+AE168</f>
        <v/>
      </c>
    </row>
    <row r="169">
      <c r="A169" s="46" t="n">
        <v>162</v>
      </c>
      <c r="B169" s="47">
        <f>EDATE(Plan!$C$18,161)</f>
        <v/>
      </c>
      <c r="C169" s="48">
        <f>F168</f>
        <v/>
      </c>
      <c r="D169" s="49">
        <f>IF(C169&gt;0,C169*Plan!$D$23/100/12,0)</f>
        <v/>
      </c>
      <c r="E169" s="48">
        <f>IF(C169&lt;=0,0,MIN(C169+D169,Plan!$E$23+(Plan!$C$17+IF(C169&lt;=0,Plan!$E$23,MAX(0,Plan!$E$23-(C169+D169)))+IF(H169&lt;=0,Plan!$E$24,MAX(0,Plan!$E$24-(H169+I169)))+IF(M169&lt;=0,Plan!$E$25,MAX(0,Plan!$E$25-(M169+N169)))+IF(R169&lt;=0,Plan!$E$26,MAX(0,Plan!$E$26-(R169+S169)))+IF(W169&lt;=0,Plan!$E$27,MAX(0,Plan!$E$27-(W169+X169)))+IF(AB169&lt;=0,Plan!$E$28,MAX(0,Plan!$E$28-(AB169+AC169))))))</f>
        <v/>
      </c>
      <c r="F169" s="50">
        <f>MAX(0,C169+D169-E169)</f>
        <v/>
      </c>
      <c r="G169" s="51">
        <f>(Plan!$C$17+IF(C169&lt;=0,Plan!$E$23,MAX(0,Plan!$E$23-(C169+D169)))+IF(H169&lt;=0,Plan!$E$24,MAX(0,Plan!$E$24-(H169+I169)))+IF(M169&lt;=0,Plan!$E$25,MAX(0,Plan!$E$25-(M169+N169)))+IF(R169&lt;=0,Plan!$E$26,MAX(0,Plan!$E$26-(R169+S169)))+IF(W169&lt;=0,Plan!$E$27,MAX(0,Plan!$E$27-(W169+X169)))+IF(AB169&lt;=0,Plan!$E$28,MAX(0,Plan!$E$28-(AB169+AC169))))-IF(C169&lt;=0,0,MAX(0,E169-Plan!$E$23))</f>
        <v/>
      </c>
      <c r="H169" s="48">
        <f>K168</f>
        <v/>
      </c>
      <c r="I169" s="49">
        <f>IF(H169&gt;0,H169*Plan!$D$24/100/12,0)</f>
        <v/>
      </c>
      <c r="J169" s="48">
        <f>IF(H169&lt;=0,0,MIN(H169+I169,Plan!$E$24+G169))</f>
        <v/>
      </c>
      <c r="K169" s="50">
        <f>MAX(0,H169+I169-J169)</f>
        <v/>
      </c>
      <c r="L169" s="51">
        <f>G169-IF(H169&lt;=0,0,MAX(0,J169-Plan!$E$24))</f>
        <v/>
      </c>
      <c r="M169" s="48">
        <f>P168</f>
        <v/>
      </c>
      <c r="N169" s="49">
        <f>IF(M169&gt;0,M169*Plan!$D$25/100/12,0)</f>
        <v/>
      </c>
      <c r="O169" s="48">
        <f>IF(M169&lt;=0,0,MIN(M169+N169,Plan!$E$25+L169))</f>
        <v/>
      </c>
      <c r="P169" s="50">
        <f>MAX(0,M169+N169-O169)</f>
        <v/>
      </c>
      <c r="Q169" s="51">
        <f>L169-IF(M169&lt;=0,0,MAX(0,O169-Plan!$E$25))</f>
        <v/>
      </c>
      <c r="R169" s="48">
        <f>U168</f>
        <v/>
      </c>
      <c r="S169" s="49">
        <f>IF(R169&gt;0,R169*Plan!$D$26/100/12,0)</f>
        <v/>
      </c>
      <c r="T169" s="48">
        <f>IF(R169&lt;=0,0,MIN(R169+S169,Plan!$E$26+Q169))</f>
        <v/>
      </c>
      <c r="U169" s="50">
        <f>MAX(0,R169+S169-T169)</f>
        <v/>
      </c>
      <c r="V169" s="51">
        <f>Q169-IF(R169&lt;=0,0,MAX(0,T169-Plan!$E$26))</f>
        <v/>
      </c>
      <c r="W169" s="48">
        <f>Z168</f>
        <v/>
      </c>
      <c r="X169" s="49">
        <f>IF(W169&gt;0,W169*Plan!$D$27/100/12,0)</f>
        <v/>
      </c>
      <c r="Y169" s="48">
        <f>IF(W169&lt;=0,0,MIN(W169+X169,Plan!$E$27+V169))</f>
        <v/>
      </c>
      <c r="Z169" s="50">
        <f>MAX(0,W169+X169-Y169)</f>
        <v/>
      </c>
      <c r="AA169" s="51">
        <f>V169-IF(W169&lt;=0,0,MAX(0,Y169-Plan!$E$27))</f>
        <v/>
      </c>
      <c r="AB169" s="48">
        <f>AE168</f>
        <v/>
      </c>
      <c r="AC169" s="49">
        <f>IF(AB169&gt;0,AB169*Plan!$D$28/100/12,0)</f>
        <v/>
      </c>
      <c r="AD169" s="48">
        <f>IF(AB169&lt;=0,0,MIN(AB169+AC169,Plan!$E$28+AA169))</f>
        <v/>
      </c>
      <c r="AE169" s="50">
        <f>MAX(0,AB169+AC169-AD169)</f>
        <v/>
      </c>
      <c r="AF169" s="51">
        <f>AA169-IF(AB169&lt;=0,0,MAX(0,AD169-Plan!$E$28))</f>
        <v/>
      </c>
      <c r="AG169" s="50">
        <f>F169+K169+P169+U169+Z169+AE169</f>
        <v/>
      </c>
    </row>
    <row r="170">
      <c r="A170" s="40" t="n">
        <v>163</v>
      </c>
      <c r="B170" s="41">
        <f>EDATE(Plan!$C$18,162)</f>
        <v/>
      </c>
      <c r="C170" s="42">
        <f>F169</f>
        <v/>
      </c>
      <c r="D170" s="43">
        <f>IF(C170&gt;0,C170*Plan!$D$23/100/12,0)</f>
        <v/>
      </c>
      <c r="E170" s="42">
        <f>IF(C170&lt;=0,0,MIN(C170+D170,Plan!$E$23+(Plan!$C$17+IF(C170&lt;=0,Plan!$E$23,MAX(0,Plan!$E$23-(C170+D170)))+IF(H170&lt;=0,Plan!$E$24,MAX(0,Plan!$E$24-(H170+I170)))+IF(M170&lt;=0,Plan!$E$25,MAX(0,Plan!$E$25-(M170+N170)))+IF(R170&lt;=0,Plan!$E$26,MAX(0,Plan!$E$26-(R170+S170)))+IF(W170&lt;=0,Plan!$E$27,MAX(0,Plan!$E$27-(W170+X170)))+IF(AB170&lt;=0,Plan!$E$28,MAX(0,Plan!$E$28-(AB170+AC170))))))</f>
        <v/>
      </c>
      <c r="F170" s="44">
        <f>MAX(0,C170+D170-E170)</f>
        <v/>
      </c>
      <c r="G170" s="45">
        <f>(Plan!$C$17+IF(C170&lt;=0,Plan!$E$23,MAX(0,Plan!$E$23-(C170+D170)))+IF(H170&lt;=0,Plan!$E$24,MAX(0,Plan!$E$24-(H170+I170)))+IF(M170&lt;=0,Plan!$E$25,MAX(0,Plan!$E$25-(M170+N170)))+IF(R170&lt;=0,Plan!$E$26,MAX(0,Plan!$E$26-(R170+S170)))+IF(W170&lt;=0,Plan!$E$27,MAX(0,Plan!$E$27-(W170+X170)))+IF(AB170&lt;=0,Plan!$E$28,MAX(0,Plan!$E$28-(AB170+AC170))))-IF(C170&lt;=0,0,MAX(0,E170-Plan!$E$23))</f>
        <v/>
      </c>
      <c r="H170" s="42">
        <f>K169</f>
        <v/>
      </c>
      <c r="I170" s="43">
        <f>IF(H170&gt;0,H170*Plan!$D$24/100/12,0)</f>
        <v/>
      </c>
      <c r="J170" s="42">
        <f>IF(H170&lt;=0,0,MIN(H170+I170,Plan!$E$24+G170))</f>
        <v/>
      </c>
      <c r="K170" s="44">
        <f>MAX(0,H170+I170-J170)</f>
        <v/>
      </c>
      <c r="L170" s="45">
        <f>G170-IF(H170&lt;=0,0,MAX(0,J170-Plan!$E$24))</f>
        <v/>
      </c>
      <c r="M170" s="42">
        <f>P169</f>
        <v/>
      </c>
      <c r="N170" s="43">
        <f>IF(M170&gt;0,M170*Plan!$D$25/100/12,0)</f>
        <v/>
      </c>
      <c r="O170" s="42">
        <f>IF(M170&lt;=0,0,MIN(M170+N170,Plan!$E$25+L170))</f>
        <v/>
      </c>
      <c r="P170" s="44">
        <f>MAX(0,M170+N170-O170)</f>
        <v/>
      </c>
      <c r="Q170" s="45">
        <f>L170-IF(M170&lt;=0,0,MAX(0,O170-Plan!$E$25))</f>
        <v/>
      </c>
      <c r="R170" s="42">
        <f>U169</f>
        <v/>
      </c>
      <c r="S170" s="43">
        <f>IF(R170&gt;0,R170*Plan!$D$26/100/12,0)</f>
        <v/>
      </c>
      <c r="T170" s="42">
        <f>IF(R170&lt;=0,0,MIN(R170+S170,Plan!$E$26+Q170))</f>
        <v/>
      </c>
      <c r="U170" s="44">
        <f>MAX(0,R170+S170-T170)</f>
        <v/>
      </c>
      <c r="V170" s="45">
        <f>Q170-IF(R170&lt;=0,0,MAX(0,T170-Plan!$E$26))</f>
        <v/>
      </c>
      <c r="W170" s="42">
        <f>Z169</f>
        <v/>
      </c>
      <c r="X170" s="43">
        <f>IF(W170&gt;0,W170*Plan!$D$27/100/12,0)</f>
        <v/>
      </c>
      <c r="Y170" s="42">
        <f>IF(W170&lt;=0,0,MIN(W170+X170,Plan!$E$27+V170))</f>
        <v/>
      </c>
      <c r="Z170" s="44">
        <f>MAX(0,W170+X170-Y170)</f>
        <v/>
      </c>
      <c r="AA170" s="45">
        <f>V170-IF(W170&lt;=0,0,MAX(0,Y170-Plan!$E$27))</f>
        <v/>
      </c>
      <c r="AB170" s="42">
        <f>AE169</f>
        <v/>
      </c>
      <c r="AC170" s="43">
        <f>IF(AB170&gt;0,AB170*Plan!$D$28/100/12,0)</f>
        <v/>
      </c>
      <c r="AD170" s="42">
        <f>IF(AB170&lt;=0,0,MIN(AB170+AC170,Plan!$E$28+AA170))</f>
        <v/>
      </c>
      <c r="AE170" s="44">
        <f>MAX(0,AB170+AC170-AD170)</f>
        <v/>
      </c>
      <c r="AF170" s="45">
        <f>AA170-IF(AB170&lt;=0,0,MAX(0,AD170-Plan!$E$28))</f>
        <v/>
      </c>
      <c r="AG170" s="44">
        <f>F170+K170+P170+U170+Z170+AE170</f>
        <v/>
      </c>
    </row>
    <row r="171">
      <c r="A171" s="46" t="n">
        <v>164</v>
      </c>
      <c r="B171" s="47">
        <f>EDATE(Plan!$C$18,163)</f>
        <v/>
      </c>
      <c r="C171" s="48">
        <f>F170</f>
        <v/>
      </c>
      <c r="D171" s="49">
        <f>IF(C171&gt;0,C171*Plan!$D$23/100/12,0)</f>
        <v/>
      </c>
      <c r="E171" s="48">
        <f>IF(C171&lt;=0,0,MIN(C171+D171,Plan!$E$23+(Plan!$C$17+IF(C171&lt;=0,Plan!$E$23,MAX(0,Plan!$E$23-(C171+D171)))+IF(H171&lt;=0,Plan!$E$24,MAX(0,Plan!$E$24-(H171+I171)))+IF(M171&lt;=0,Plan!$E$25,MAX(0,Plan!$E$25-(M171+N171)))+IF(R171&lt;=0,Plan!$E$26,MAX(0,Plan!$E$26-(R171+S171)))+IF(W171&lt;=0,Plan!$E$27,MAX(0,Plan!$E$27-(W171+X171)))+IF(AB171&lt;=0,Plan!$E$28,MAX(0,Plan!$E$28-(AB171+AC171))))))</f>
        <v/>
      </c>
      <c r="F171" s="50">
        <f>MAX(0,C171+D171-E171)</f>
        <v/>
      </c>
      <c r="G171" s="51">
        <f>(Plan!$C$17+IF(C171&lt;=0,Plan!$E$23,MAX(0,Plan!$E$23-(C171+D171)))+IF(H171&lt;=0,Plan!$E$24,MAX(0,Plan!$E$24-(H171+I171)))+IF(M171&lt;=0,Plan!$E$25,MAX(0,Plan!$E$25-(M171+N171)))+IF(R171&lt;=0,Plan!$E$26,MAX(0,Plan!$E$26-(R171+S171)))+IF(W171&lt;=0,Plan!$E$27,MAX(0,Plan!$E$27-(W171+X171)))+IF(AB171&lt;=0,Plan!$E$28,MAX(0,Plan!$E$28-(AB171+AC171))))-IF(C171&lt;=0,0,MAX(0,E171-Plan!$E$23))</f>
        <v/>
      </c>
      <c r="H171" s="48">
        <f>K170</f>
        <v/>
      </c>
      <c r="I171" s="49">
        <f>IF(H171&gt;0,H171*Plan!$D$24/100/12,0)</f>
        <v/>
      </c>
      <c r="J171" s="48">
        <f>IF(H171&lt;=0,0,MIN(H171+I171,Plan!$E$24+G171))</f>
        <v/>
      </c>
      <c r="K171" s="50">
        <f>MAX(0,H171+I171-J171)</f>
        <v/>
      </c>
      <c r="L171" s="51">
        <f>G171-IF(H171&lt;=0,0,MAX(0,J171-Plan!$E$24))</f>
        <v/>
      </c>
      <c r="M171" s="48">
        <f>P170</f>
        <v/>
      </c>
      <c r="N171" s="49">
        <f>IF(M171&gt;0,M171*Plan!$D$25/100/12,0)</f>
        <v/>
      </c>
      <c r="O171" s="48">
        <f>IF(M171&lt;=0,0,MIN(M171+N171,Plan!$E$25+L171))</f>
        <v/>
      </c>
      <c r="P171" s="50">
        <f>MAX(0,M171+N171-O171)</f>
        <v/>
      </c>
      <c r="Q171" s="51">
        <f>L171-IF(M171&lt;=0,0,MAX(0,O171-Plan!$E$25))</f>
        <v/>
      </c>
      <c r="R171" s="48">
        <f>U170</f>
        <v/>
      </c>
      <c r="S171" s="49">
        <f>IF(R171&gt;0,R171*Plan!$D$26/100/12,0)</f>
        <v/>
      </c>
      <c r="T171" s="48">
        <f>IF(R171&lt;=0,0,MIN(R171+S171,Plan!$E$26+Q171))</f>
        <v/>
      </c>
      <c r="U171" s="50">
        <f>MAX(0,R171+S171-T171)</f>
        <v/>
      </c>
      <c r="V171" s="51">
        <f>Q171-IF(R171&lt;=0,0,MAX(0,T171-Plan!$E$26))</f>
        <v/>
      </c>
      <c r="W171" s="48">
        <f>Z170</f>
        <v/>
      </c>
      <c r="X171" s="49">
        <f>IF(W171&gt;0,W171*Plan!$D$27/100/12,0)</f>
        <v/>
      </c>
      <c r="Y171" s="48">
        <f>IF(W171&lt;=0,0,MIN(W171+X171,Plan!$E$27+V171))</f>
        <v/>
      </c>
      <c r="Z171" s="50">
        <f>MAX(0,W171+X171-Y171)</f>
        <v/>
      </c>
      <c r="AA171" s="51">
        <f>V171-IF(W171&lt;=0,0,MAX(0,Y171-Plan!$E$27))</f>
        <v/>
      </c>
      <c r="AB171" s="48">
        <f>AE170</f>
        <v/>
      </c>
      <c r="AC171" s="49">
        <f>IF(AB171&gt;0,AB171*Plan!$D$28/100/12,0)</f>
        <v/>
      </c>
      <c r="AD171" s="48">
        <f>IF(AB171&lt;=0,0,MIN(AB171+AC171,Plan!$E$28+AA171))</f>
        <v/>
      </c>
      <c r="AE171" s="50">
        <f>MAX(0,AB171+AC171-AD171)</f>
        <v/>
      </c>
      <c r="AF171" s="51">
        <f>AA171-IF(AB171&lt;=0,0,MAX(0,AD171-Plan!$E$28))</f>
        <v/>
      </c>
      <c r="AG171" s="50">
        <f>F171+K171+P171+U171+Z171+AE171</f>
        <v/>
      </c>
    </row>
    <row r="172">
      <c r="A172" s="40" t="n">
        <v>165</v>
      </c>
      <c r="B172" s="41">
        <f>EDATE(Plan!$C$18,164)</f>
        <v/>
      </c>
      <c r="C172" s="42">
        <f>F171</f>
        <v/>
      </c>
      <c r="D172" s="43">
        <f>IF(C172&gt;0,C172*Plan!$D$23/100/12,0)</f>
        <v/>
      </c>
      <c r="E172" s="42">
        <f>IF(C172&lt;=0,0,MIN(C172+D172,Plan!$E$23+(Plan!$C$17+IF(C172&lt;=0,Plan!$E$23,MAX(0,Plan!$E$23-(C172+D172)))+IF(H172&lt;=0,Plan!$E$24,MAX(0,Plan!$E$24-(H172+I172)))+IF(M172&lt;=0,Plan!$E$25,MAX(0,Plan!$E$25-(M172+N172)))+IF(R172&lt;=0,Plan!$E$26,MAX(0,Plan!$E$26-(R172+S172)))+IF(W172&lt;=0,Plan!$E$27,MAX(0,Plan!$E$27-(W172+X172)))+IF(AB172&lt;=0,Plan!$E$28,MAX(0,Plan!$E$28-(AB172+AC172))))))</f>
        <v/>
      </c>
      <c r="F172" s="44">
        <f>MAX(0,C172+D172-E172)</f>
        <v/>
      </c>
      <c r="G172" s="45">
        <f>(Plan!$C$17+IF(C172&lt;=0,Plan!$E$23,MAX(0,Plan!$E$23-(C172+D172)))+IF(H172&lt;=0,Plan!$E$24,MAX(0,Plan!$E$24-(H172+I172)))+IF(M172&lt;=0,Plan!$E$25,MAX(0,Plan!$E$25-(M172+N172)))+IF(R172&lt;=0,Plan!$E$26,MAX(0,Plan!$E$26-(R172+S172)))+IF(W172&lt;=0,Plan!$E$27,MAX(0,Plan!$E$27-(W172+X172)))+IF(AB172&lt;=0,Plan!$E$28,MAX(0,Plan!$E$28-(AB172+AC172))))-IF(C172&lt;=0,0,MAX(0,E172-Plan!$E$23))</f>
        <v/>
      </c>
      <c r="H172" s="42">
        <f>K171</f>
        <v/>
      </c>
      <c r="I172" s="43">
        <f>IF(H172&gt;0,H172*Plan!$D$24/100/12,0)</f>
        <v/>
      </c>
      <c r="J172" s="42">
        <f>IF(H172&lt;=0,0,MIN(H172+I172,Plan!$E$24+G172))</f>
        <v/>
      </c>
      <c r="K172" s="44">
        <f>MAX(0,H172+I172-J172)</f>
        <v/>
      </c>
      <c r="L172" s="45">
        <f>G172-IF(H172&lt;=0,0,MAX(0,J172-Plan!$E$24))</f>
        <v/>
      </c>
      <c r="M172" s="42">
        <f>P171</f>
        <v/>
      </c>
      <c r="N172" s="43">
        <f>IF(M172&gt;0,M172*Plan!$D$25/100/12,0)</f>
        <v/>
      </c>
      <c r="O172" s="42">
        <f>IF(M172&lt;=0,0,MIN(M172+N172,Plan!$E$25+L172))</f>
        <v/>
      </c>
      <c r="P172" s="44">
        <f>MAX(0,M172+N172-O172)</f>
        <v/>
      </c>
      <c r="Q172" s="45">
        <f>L172-IF(M172&lt;=0,0,MAX(0,O172-Plan!$E$25))</f>
        <v/>
      </c>
      <c r="R172" s="42">
        <f>U171</f>
        <v/>
      </c>
      <c r="S172" s="43">
        <f>IF(R172&gt;0,R172*Plan!$D$26/100/12,0)</f>
        <v/>
      </c>
      <c r="T172" s="42">
        <f>IF(R172&lt;=0,0,MIN(R172+S172,Plan!$E$26+Q172))</f>
        <v/>
      </c>
      <c r="U172" s="44">
        <f>MAX(0,R172+S172-T172)</f>
        <v/>
      </c>
      <c r="V172" s="45">
        <f>Q172-IF(R172&lt;=0,0,MAX(0,T172-Plan!$E$26))</f>
        <v/>
      </c>
      <c r="W172" s="42">
        <f>Z171</f>
        <v/>
      </c>
      <c r="X172" s="43">
        <f>IF(W172&gt;0,W172*Plan!$D$27/100/12,0)</f>
        <v/>
      </c>
      <c r="Y172" s="42">
        <f>IF(W172&lt;=0,0,MIN(W172+X172,Plan!$E$27+V172))</f>
        <v/>
      </c>
      <c r="Z172" s="44">
        <f>MAX(0,W172+X172-Y172)</f>
        <v/>
      </c>
      <c r="AA172" s="45">
        <f>V172-IF(W172&lt;=0,0,MAX(0,Y172-Plan!$E$27))</f>
        <v/>
      </c>
      <c r="AB172" s="42">
        <f>AE171</f>
        <v/>
      </c>
      <c r="AC172" s="43">
        <f>IF(AB172&gt;0,AB172*Plan!$D$28/100/12,0)</f>
        <v/>
      </c>
      <c r="AD172" s="42">
        <f>IF(AB172&lt;=0,0,MIN(AB172+AC172,Plan!$E$28+AA172))</f>
        <v/>
      </c>
      <c r="AE172" s="44">
        <f>MAX(0,AB172+AC172-AD172)</f>
        <v/>
      </c>
      <c r="AF172" s="45">
        <f>AA172-IF(AB172&lt;=0,0,MAX(0,AD172-Plan!$E$28))</f>
        <v/>
      </c>
      <c r="AG172" s="44">
        <f>F172+K172+P172+U172+Z172+AE172</f>
        <v/>
      </c>
    </row>
    <row r="173">
      <c r="A173" s="46" t="n">
        <v>166</v>
      </c>
      <c r="B173" s="47">
        <f>EDATE(Plan!$C$18,165)</f>
        <v/>
      </c>
      <c r="C173" s="48">
        <f>F172</f>
        <v/>
      </c>
      <c r="D173" s="49">
        <f>IF(C173&gt;0,C173*Plan!$D$23/100/12,0)</f>
        <v/>
      </c>
      <c r="E173" s="48">
        <f>IF(C173&lt;=0,0,MIN(C173+D173,Plan!$E$23+(Plan!$C$17+IF(C173&lt;=0,Plan!$E$23,MAX(0,Plan!$E$23-(C173+D173)))+IF(H173&lt;=0,Plan!$E$24,MAX(0,Plan!$E$24-(H173+I173)))+IF(M173&lt;=0,Plan!$E$25,MAX(0,Plan!$E$25-(M173+N173)))+IF(R173&lt;=0,Plan!$E$26,MAX(0,Plan!$E$26-(R173+S173)))+IF(W173&lt;=0,Plan!$E$27,MAX(0,Plan!$E$27-(W173+X173)))+IF(AB173&lt;=0,Plan!$E$28,MAX(0,Plan!$E$28-(AB173+AC173))))))</f>
        <v/>
      </c>
      <c r="F173" s="50">
        <f>MAX(0,C173+D173-E173)</f>
        <v/>
      </c>
      <c r="G173" s="51">
        <f>(Plan!$C$17+IF(C173&lt;=0,Plan!$E$23,MAX(0,Plan!$E$23-(C173+D173)))+IF(H173&lt;=0,Plan!$E$24,MAX(0,Plan!$E$24-(H173+I173)))+IF(M173&lt;=0,Plan!$E$25,MAX(0,Plan!$E$25-(M173+N173)))+IF(R173&lt;=0,Plan!$E$26,MAX(0,Plan!$E$26-(R173+S173)))+IF(W173&lt;=0,Plan!$E$27,MAX(0,Plan!$E$27-(W173+X173)))+IF(AB173&lt;=0,Plan!$E$28,MAX(0,Plan!$E$28-(AB173+AC173))))-IF(C173&lt;=0,0,MAX(0,E173-Plan!$E$23))</f>
        <v/>
      </c>
      <c r="H173" s="48">
        <f>K172</f>
        <v/>
      </c>
      <c r="I173" s="49">
        <f>IF(H173&gt;0,H173*Plan!$D$24/100/12,0)</f>
        <v/>
      </c>
      <c r="J173" s="48">
        <f>IF(H173&lt;=0,0,MIN(H173+I173,Plan!$E$24+G173))</f>
        <v/>
      </c>
      <c r="K173" s="50">
        <f>MAX(0,H173+I173-J173)</f>
        <v/>
      </c>
      <c r="L173" s="51">
        <f>G173-IF(H173&lt;=0,0,MAX(0,J173-Plan!$E$24))</f>
        <v/>
      </c>
      <c r="M173" s="48">
        <f>P172</f>
        <v/>
      </c>
      <c r="N173" s="49">
        <f>IF(M173&gt;0,M173*Plan!$D$25/100/12,0)</f>
        <v/>
      </c>
      <c r="O173" s="48">
        <f>IF(M173&lt;=0,0,MIN(M173+N173,Plan!$E$25+L173))</f>
        <v/>
      </c>
      <c r="P173" s="50">
        <f>MAX(0,M173+N173-O173)</f>
        <v/>
      </c>
      <c r="Q173" s="51">
        <f>L173-IF(M173&lt;=0,0,MAX(0,O173-Plan!$E$25))</f>
        <v/>
      </c>
      <c r="R173" s="48">
        <f>U172</f>
        <v/>
      </c>
      <c r="S173" s="49">
        <f>IF(R173&gt;0,R173*Plan!$D$26/100/12,0)</f>
        <v/>
      </c>
      <c r="T173" s="48">
        <f>IF(R173&lt;=0,0,MIN(R173+S173,Plan!$E$26+Q173))</f>
        <v/>
      </c>
      <c r="U173" s="50">
        <f>MAX(0,R173+S173-T173)</f>
        <v/>
      </c>
      <c r="V173" s="51">
        <f>Q173-IF(R173&lt;=0,0,MAX(0,T173-Plan!$E$26))</f>
        <v/>
      </c>
      <c r="W173" s="48">
        <f>Z172</f>
        <v/>
      </c>
      <c r="X173" s="49">
        <f>IF(W173&gt;0,W173*Plan!$D$27/100/12,0)</f>
        <v/>
      </c>
      <c r="Y173" s="48">
        <f>IF(W173&lt;=0,0,MIN(W173+X173,Plan!$E$27+V173))</f>
        <v/>
      </c>
      <c r="Z173" s="50">
        <f>MAX(0,W173+X173-Y173)</f>
        <v/>
      </c>
      <c r="AA173" s="51">
        <f>V173-IF(W173&lt;=0,0,MAX(0,Y173-Plan!$E$27))</f>
        <v/>
      </c>
      <c r="AB173" s="48">
        <f>AE172</f>
        <v/>
      </c>
      <c r="AC173" s="49">
        <f>IF(AB173&gt;0,AB173*Plan!$D$28/100/12,0)</f>
        <v/>
      </c>
      <c r="AD173" s="48">
        <f>IF(AB173&lt;=0,0,MIN(AB173+AC173,Plan!$E$28+AA173))</f>
        <v/>
      </c>
      <c r="AE173" s="50">
        <f>MAX(0,AB173+AC173-AD173)</f>
        <v/>
      </c>
      <c r="AF173" s="51">
        <f>AA173-IF(AB173&lt;=0,0,MAX(0,AD173-Plan!$E$28))</f>
        <v/>
      </c>
      <c r="AG173" s="50">
        <f>F173+K173+P173+U173+Z173+AE173</f>
        <v/>
      </c>
    </row>
    <row r="174">
      <c r="A174" s="40" t="n">
        <v>167</v>
      </c>
      <c r="B174" s="41">
        <f>EDATE(Plan!$C$18,166)</f>
        <v/>
      </c>
      <c r="C174" s="42">
        <f>F173</f>
        <v/>
      </c>
      <c r="D174" s="43">
        <f>IF(C174&gt;0,C174*Plan!$D$23/100/12,0)</f>
        <v/>
      </c>
      <c r="E174" s="42">
        <f>IF(C174&lt;=0,0,MIN(C174+D174,Plan!$E$23+(Plan!$C$17+IF(C174&lt;=0,Plan!$E$23,MAX(0,Plan!$E$23-(C174+D174)))+IF(H174&lt;=0,Plan!$E$24,MAX(0,Plan!$E$24-(H174+I174)))+IF(M174&lt;=0,Plan!$E$25,MAX(0,Plan!$E$25-(M174+N174)))+IF(R174&lt;=0,Plan!$E$26,MAX(0,Plan!$E$26-(R174+S174)))+IF(W174&lt;=0,Plan!$E$27,MAX(0,Plan!$E$27-(W174+X174)))+IF(AB174&lt;=0,Plan!$E$28,MAX(0,Plan!$E$28-(AB174+AC174))))))</f>
        <v/>
      </c>
      <c r="F174" s="44">
        <f>MAX(0,C174+D174-E174)</f>
        <v/>
      </c>
      <c r="G174" s="45">
        <f>(Plan!$C$17+IF(C174&lt;=0,Plan!$E$23,MAX(0,Plan!$E$23-(C174+D174)))+IF(H174&lt;=0,Plan!$E$24,MAX(0,Plan!$E$24-(H174+I174)))+IF(M174&lt;=0,Plan!$E$25,MAX(0,Plan!$E$25-(M174+N174)))+IF(R174&lt;=0,Plan!$E$26,MAX(0,Plan!$E$26-(R174+S174)))+IF(W174&lt;=0,Plan!$E$27,MAX(0,Plan!$E$27-(W174+X174)))+IF(AB174&lt;=0,Plan!$E$28,MAX(0,Plan!$E$28-(AB174+AC174))))-IF(C174&lt;=0,0,MAX(0,E174-Plan!$E$23))</f>
        <v/>
      </c>
      <c r="H174" s="42">
        <f>K173</f>
        <v/>
      </c>
      <c r="I174" s="43">
        <f>IF(H174&gt;0,H174*Plan!$D$24/100/12,0)</f>
        <v/>
      </c>
      <c r="J174" s="42">
        <f>IF(H174&lt;=0,0,MIN(H174+I174,Plan!$E$24+G174))</f>
        <v/>
      </c>
      <c r="K174" s="44">
        <f>MAX(0,H174+I174-J174)</f>
        <v/>
      </c>
      <c r="L174" s="45">
        <f>G174-IF(H174&lt;=0,0,MAX(0,J174-Plan!$E$24))</f>
        <v/>
      </c>
      <c r="M174" s="42">
        <f>P173</f>
        <v/>
      </c>
      <c r="N174" s="43">
        <f>IF(M174&gt;0,M174*Plan!$D$25/100/12,0)</f>
        <v/>
      </c>
      <c r="O174" s="42">
        <f>IF(M174&lt;=0,0,MIN(M174+N174,Plan!$E$25+L174))</f>
        <v/>
      </c>
      <c r="P174" s="44">
        <f>MAX(0,M174+N174-O174)</f>
        <v/>
      </c>
      <c r="Q174" s="45">
        <f>L174-IF(M174&lt;=0,0,MAX(0,O174-Plan!$E$25))</f>
        <v/>
      </c>
      <c r="R174" s="42">
        <f>U173</f>
        <v/>
      </c>
      <c r="S174" s="43">
        <f>IF(R174&gt;0,R174*Plan!$D$26/100/12,0)</f>
        <v/>
      </c>
      <c r="T174" s="42">
        <f>IF(R174&lt;=0,0,MIN(R174+S174,Plan!$E$26+Q174))</f>
        <v/>
      </c>
      <c r="U174" s="44">
        <f>MAX(0,R174+S174-T174)</f>
        <v/>
      </c>
      <c r="V174" s="45">
        <f>Q174-IF(R174&lt;=0,0,MAX(0,T174-Plan!$E$26))</f>
        <v/>
      </c>
      <c r="W174" s="42">
        <f>Z173</f>
        <v/>
      </c>
      <c r="X174" s="43">
        <f>IF(W174&gt;0,W174*Plan!$D$27/100/12,0)</f>
        <v/>
      </c>
      <c r="Y174" s="42">
        <f>IF(W174&lt;=0,0,MIN(W174+X174,Plan!$E$27+V174))</f>
        <v/>
      </c>
      <c r="Z174" s="44">
        <f>MAX(0,W174+X174-Y174)</f>
        <v/>
      </c>
      <c r="AA174" s="45">
        <f>V174-IF(W174&lt;=0,0,MAX(0,Y174-Plan!$E$27))</f>
        <v/>
      </c>
      <c r="AB174" s="42">
        <f>AE173</f>
        <v/>
      </c>
      <c r="AC174" s="43">
        <f>IF(AB174&gt;0,AB174*Plan!$D$28/100/12,0)</f>
        <v/>
      </c>
      <c r="AD174" s="42">
        <f>IF(AB174&lt;=0,0,MIN(AB174+AC174,Plan!$E$28+AA174))</f>
        <v/>
      </c>
      <c r="AE174" s="44">
        <f>MAX(0,AB174+AC174-AD174)</f>
        <v/>
      </c>
      <c r="AF174" s="45">
        <f>AA174-IF(AB174&lt;=0,0,MAX(0,AD174-Plan!$E$28))</f>
        <v/>
      </c>
      <c r="AG174" s="44">
        <f>F174+K174+P174+U174+Z174+AE174</f>
        <v/>
      </c>
    </row>
    <row r="175">
      <c r="A175" s="46" t="n">
        <v>168</v>
      </c>
      <c r="B175" s="47">
        <f>EDATE(Plan!$C$18,167)</f>
        <v/>
      </c>
      <c r="C175" s="48">
        <f>F174</f>
        <v/>
      </c>
      <c r="D175" s="49">
        <f>IF(C175&gt;0,C175*Plan!$D$23/100/12,0)</f>
        <v/>
      </c>
      <c r="E175" s="48">
        <f>IF(C175&lt;=0,0,MIN(C175+D175,Plan!$E$23+(Plan!$C$17+IF(C175&lt;=0,Plan!$E$23,MAX(0,Plan!$E$23-(C175+D175)))+IF(H175&lt;=0,Plan!$E$24,MAX(0,Plan!$E$24-(H175+I175)))+IF(M175&lt;=0,Plan!$E$25,MAX(0,Plan!$E$25-(M175+N175)))+IF(R175&lt;=0,Plan!$E$26,MAX(0,Plan!$E$26-(R175+S175)))+IF(W175&lt;=0,Plan!$E$27,MAX(0,Plan!$E$27-(W175+X175)))+IF(AB175&lt;=0,Plan!$E$28,MAX(0,Plan!$E$28-(AB175+AC175))))))</f>
        <v/>
      </c>
      <c r="F175" s="50">
        <f>MAX(0,C175+D175-E175)</f>
        <v/>
      </c>
      <c r="G175" s="51">
        <f>(Plan!$C$17+IF(C175&lt;=0,Plan!$E$23,MAX(0,Plan!$E$23-(C175+D175)))+IF(H175&lt;=0,Plan!$E$24,MAX(0,Plan!$E$24-(H175+I175)))+IF(M175&lt;=0,Plan!$E$25,MAX(0,Plan!$E$25-(M175+N175)))+IF(R175&lt;=0,Plan!$E$26,MAX(0,Plan!$E$26-(R175+S175)))+IF(W175&lt;=0,Plan!$E$27,MAX(0,Plan!$E$27-(W175+X175)))+IF(AB175&lt;=0,Plan!$E$28,MAX(0,Plan!$E$28-(AB175+AC175))))-IF(C175&lt;=0,0,MAX(0,E175-Plan!$E$23))</f>
        <v/>
      </c>
      <c r="H175" s="48">
        <f>K174</f>
        <v/>
      </c>
      <c r="I175" s="49">
        <f>IF(H175&gt;0,H175*Plan!$D$24/100/12,0)</f>
        <v/>
      </c>
      <c r="J175" s="48">
        <f>IF(H175&lt;=0,0,MIN(H175+I175,Plan!$E$24+G175))</f>
        <v/>
      </c>
      <c r="K175" s="50">
        <f>MAX(0,H175+I175-J175)</f>
        <v/>
      </c>
      <c r="L175" s="51">
        <f>G175-IF(H175&lt;=0,0,MAX(0,J175-Plan!$E$24))</f>
        <v/>
      </c>
      <c r="M175" s="48">
        <f>P174</f>
        <v/>
      </c>
      <c r="N175" s="49">
        <f>IF(M175&gt;0,M175*Plan!$D$25/100/12,0)</f>
        <v/>
      </c>
      <c r="O175" s="48">
        <f>IF(M175&lt;=0,0,MIN(M175+N175,Plan!$E$25+L175))</f>
        <v/>
      </c>
      <c r="P175" s="50">
        <f>MAX(0,M175+N175-O175)</f>
        <v/>
      </c>
      <c r="Q175" s="51">
        <f>L175-IF(M175&lt;=0,0,MAX(0,O175-Plan!$E$25))</f>
        <v/>
      </c>
      <c r="R175" s="48">
        <f>U174</f>
        <v/>
      </c>
      <c r="S175" s="49">
        <f>IF(R175&gt;0,R175*Plan!$D$26/100/12,0)</f>
        <v/>
      </c>
      <c r="T175" s="48">
        <f>IF(R175&lt;=0,0,MIN(R175+S175,Plan!$E$26+Q175))</f>
        <v/>
      </c>
      <c r="U175" s="50">
        <f>MAX(0,R175+S175-T175)</f>
        <v/>
      </c>
      <c r="V175" s="51">
        <f>Q175-IF(R175&lt;=0,0,MAX(0,T175-Plan!$E$26))</f>
        <v/>
      </c>
      <c r="W175" s="48">
        <f>Z174</f>
        <v/>
      </c>
      <c r="X175" s="49">
        <f>IF(W175&gt;0,W175*Plan!$D$27/100/12,0)</f>
        <v/>
      </c>
      <c r="Y175" s="48">
        <f>IF(W175&lt;=0,0,MIN(W175+X175,Plan!$E$27+V175))</f>
        <v/>
      </c>
      <c r="Z175" s="50">
        <f>MAX(0,W175+X175-Y175)</f>
        <v/>
      </c>
      <c r="AA175" s="51">
        <f>V175-IF(W175&lt;=0,0,MAX(0,Y175-Plan!$E$27))</f>
        <v/>
      </c>
      <c r="AB175" s="48">
        <f>AE174</f>
        <v/>
      </c>
      <c r="AC175" s="49">
        <f>IF(AB175&gt;0,AB175*Plan!$D$28/100/12,0)</f>
        <v/>
      </c>
      <c r="AD175" s="48">
        <f>IF(AB175&lt;=0,0,MIN(AB175+AC175,Plan!$E$28+AA175))</f>
        <v/>
      </c>
      <c r="AE175" s="50">
        <f>MAX(0,AB175+AC175-AD175)</f>
        <v/>
      </c>
      <c r="AF175" s="51">
        <f>AA175-IF(AB175&lt;=0,0,MAX(0,AD175-Plan!$E$28))</f>
        <v/>
      </c>
      <c r="AG175" s="50">
        <f>F175+K175+P175+U175+Z175+AE175</f>
        <v/>
      </c>
    </row>
    <row r="176">
      <c r="A176" s="40" t="n">
        <v>169</v>
      </c>
      <c r="B176" s="41">
        <f>EDATE(Plan!$C$18,168)</f>
        <v/>
      </c>
      <c r="C176" s="42">
        <f>F175</f>
        <v/>
      </c>
      <c r="D176" s="43">
        <f>IF(C176&gt;0,C176*Plan!$D$23/100/12,0)</f>
        <v/>
      </c>
      <c r="E176" s="42">
        <f>IF(C176&lt;=0,0,MIN(C176+D176,Plan!$E$23+(Plan!$C$17+IF(C176&lt;=0,Plan!$E$23,MAX(0,Plan!$E$23-(C176+D176)))+IF(H176&lt;=0,Plan!$E$24,MAX(0,Plan!$E$24-(H176+I176)))+IF(M176&lt;=0,Plan!$E$25,MAX(0,Plan!$E$25-(M176+N176)))+IF(R176&lt;=0,Plan!$E$26,MAX(0,Plan!$E$26-(R176+S176)))+IF(W176&lt;=0,Plan!$E$27,MAX(0,Plan!$E$27-(W176+X176)))+IF(AB176&lt;=0,Plan!$E$28,MAX(0,Plan!$E$28-(AB176+AC176))))))</f>
        <v/>
      </c>
      <c r="F176" s="44">
        <f>MAX(0,C176+D176-E176)</f>
        <v/>
      </c>
      <c r="G176" s="45">
        <f>(Plan!$C$17+IF(C176&lt;=0,Plan!$E$23,MAX(0,Plan!$E$23-(C176+D176)))+IF(H176&lt;=0,Plan!$E$24,MAX(0,Plan!$E$24-(H176+I176)))+IF(M176&lt;=0,Plan!$E$25,MAX(0,Plan!$E$25-(M176+N176)))+IF(R176&lt;=0,Plan!$E$26,MAX(0,Plan!$E$26-(R176+S176)))+IF(W176&lt;=0,Plan!$E$27,MAX(0,Plan!$E$27-(W176+X176)))+IF(AB176&lt;=0,Plan!$E$28,MAX(0,Plan!$E$28-(AB176+AC176))))-IF(C176&lt;=0,0,MAX(0,E176-Plan!$E$23))</f>
        <v/>
      </c>
      <c r="H176" s="42">
        <f>K175</f>
        <v/>
      </c>
      <c r="I176" s="43">
        <f>IF(H176&gt;0,H176*Plan!$D$24/100/12,0)</f>
        <v/>
      </c>
      <c r="J176" s="42">
        <f>IF(H176&lt;=0,0,MIN(H176+I176,Plan!$E$24+G176))</f>
        <v/>
      </c>
      <c r="K176" s="44">
        <f>MAX(0,H176+I176-J176)</f>
        <v/>
      </c>
      <c r="L176" s="45">
        <f>G176-IF(H176&lt;=0,0,MAX(0,J176-Plan!$E$24))</f>
        <v/>
      </c>
      <c r="M176" s="42">
        <f>P175</f>
        <v/>
      </c>
      <c r="N176" s="43">
        <f>IF(M176&gt;0,M176*Plan!$D$25/100/12,0)</f>
        <v/>
      </c>
      <c r="O176" s="42">
        <f>IF(M176&lt;=0,0,MIN(M176+N176,Plan!$E$25+L176))</f>
        <v/>
      </c>
      <c r="P176" s="44">
        <f>MAX(0,M176+N176-O176)</f>
        <v/>
      </c>
      <c r="Q176" s="45">
        <f>L176-IF(M176&lt;=0,0,MAX(0,O176-Plan!$E$25))</f>
        <v/>
      </c>
      <c r="R176" s="42">
        <f>U175</f>
        <v/>
      </c>
      <c r="S176" s="43">
        <f>IF(R176&gt;0,R176*Plan!$D$26/100/12,0)</f>
        <v/>
      </c>
      <c r="T176" s="42">
        <f>IF(R176&lt;=0,0,MIN(R176+S176,Plan!$E$26+Q176))</f>
        <v/>
      </c>
      <c r="U176" s="44">
        <f>MAX(0,R176+S176-T176)</f>
        <v/>
      </c>
      <c r="V176" s="45">
        <f>Q176-IF(R176&lt;=0,0,MAX(0,T176-Plan!$E$26))</f>
        <v/>
      </c>
      <c r="W176" s="42">
        <f>Z175</f>
        <v/>
      </c>
      <c r="X176" s="43">
        <f>IF(W176&gt;0,W176*Plan!$D$27/100/12,0)</f>
        <v/>
      </c>
      <c r="Y176" s="42">
        <f>IF(W176&lt;=0,0,MIN(W176+X176,Plan!$E$27+V176))</f>
        <v/>
      </c>
      <c r="Z176" s="44">
        <f>MAX(0,W176+X176-Y176)</f>
        <v/>
      </c>
      <c r="AA176" s="45">
        <f>V176-IF(W176&lt;=0,0,MAX(0,Y176-Plan!$E$27))</f>
        <v/>
      </c>
      <c r="AB176" s="42">
        <f>AE175</f>
        <v/>
      </c>
      <c r="AC176" s="43">
        <f>IF(AB176&gt;0,AB176*Plan!$D$28/100/12,0)</f>
        <v/>
      </c>
      <c r="AD176" s="42">
        <f>IF(AB176&lt;=0,0,MIN(AB176+AC176,Plan!$E$28+AA176))</f>
        <v/>
      </c>
      <c r="AE176" s="44">
        <f>MAX(0,AB176+AC176-AD176)</f>
        <v/>
      </c>
      <c r="AF176" s="45">
        <f>AA176-IF(AB176&lt;=0,0,MAX(0,AD176-Plan!$E$28))</f>
        <v/>
      </c>
      <c r="AG176" s="44">
        <f>F176+K176+P176+U176+Z176+AE176</f>
        <v/>
      </c>
    </row>
    <row r="177">
      <c r="A177" s="46" t="n">
        <v>170</v>
      </c>
      <c r="B177" s="47">
        <f>EDATE(Plan!$C$18,169)</f>
        <v/>
      </c>
      <c r="C177" s="48">
        <f>F176</f>
        <v/>
      </c>
      <c r="D177" s="49">
        <f>IF(C177&gt;0,C177*Plan!$D$23/100/12,0)</f>
        <v/>
      </c>
      <c r="E177" s="48">
        <f>IF(C177&lt;=0,0,MIN(C177+D177,Plan!$E$23+(Plan!$C$17+IF(C177&lt;=0,Plan!$E$23,MAX(0,Plan!$E$23-(C177+D177)))+IF(H177&lt;=0,Plan!$E$24,MAX(0,Plan!$E$24-(H177+I177)))+IF(M177&lt;=0,Plan!$E$25,MAX(0,Plan!$E$25-(M177+N177)))+IF(R177&lt;=0,Plan!$E$26,MAX(0,Plan!$E$26-(R177+S177)))+IF(W177&lt;=0,Plan!$E$27,MAX(0,Plan!$E$27-(W177+X177)))+IF(AB177&lt;=0,Plan!$E$28,MAX(0,Plan!$E$28-(AB177+AC177))))))</f>
        <v/>
      </c>
      <c r="F177" s="50">
        <f>MAX(0,C177+D177-E177)</f>
        <v/>
      </c>
      <c r="G177" s="51">
        <f>(Plan!$C$17+IF(C177&lt;=0,Plan!$E$23,MAX(0,Plan!$E$23-(C177+D177)))+IF(H177&lt;=0,Plan!$E$24,MAX(0,Plan!$E$24-(H177+I177)))+IF(M177&lt;=0,Plan!$E$25,MAX(0,Plan!$E$25-(M177+N177)))+IF(R177&lt;=0,Plan!$E$26,MAX(0,Plan!$E$26-(R177+S177)))+IF(W177&lt;=0,Plan!$E$27,MAX(0,Plan!$E$27-(W177+X177)))+IF(AB177&lt;=0,Plan!$E$28,MAX(0,Plan!$E$28-(AB177+AC177))))-IF(C177&lt;=0,0,MAX(0,E177-Plan!$E$23))</f>
        <v/>
      </c>
      <c r="H177" s="48">
        <f>K176</f>
        <v/>
      </c>
      <c r="I177" s="49">
        <f>IF(H177&gt;0,H177*Plan!$D$24/100/12,0)</f>
        <v/>
      </c>
      <c r="J177" s="48">
        <f>IF(H177&lt;=0,0,MIN(H177+I177,Plan!$E$24+G177))</f>
        <v/>
      </c>
      <c r="K177" s="50">
        <f>MAX(0,H177+I177-J177)</f>
        <v/>
      </c>
      <c r="L177" s="51">
        <f>G177-IF(H177&lt;=0,0,MAX(0,J177-Plan!$E$24))</f>
        <v/>
      </c>
      <c r="M177" s="48">
        <f>P176</f>
        <v/>
      </c>
      <c r="N177" s="49">
        <f>IF(M177&gt;0,M177*Plan!$D$25/100/12,0)</f>
        <v/>
      </c>
      <c r="O177" s="48">
        <f>IF(M177&lt;=0,0,MIN(M177+N177,Plan!$E$25+L177))</f>
        <v/>
      </c>
      <c r="P177" s="50">
        <f>MAX(0,M177+N177-O177)</f>
        <v/>
      </c>
      <c r="Q177" s="51">
        <f>L177-IF(M177&lt;=0,0,MAX(0,O177-Plan!$E$25))</f>
        <v/>
      </c>
      <c r="R177" s="48">
        <f>U176</f>
        <v/>
      </c>
      <c r="S177" s="49">
        <f>IF(R177&gt;0,R177*Plan!$D$26/100/12,0)</f>
        <v/>
      </c>
      <c r="T177" s="48">
        <f>IF(R177&lt;=0,0,MIN(R177+S177,Plan!$E$26+Q177))</f>
        <v/>
      </c>
      <c r="U177" s="50">
        <f>MAX(0,R177+S177-T177)</f>
        <v/>
      </c>
      <c r="V177" s="51">
        <f>Q177-IF(R177&lt;=0,0,MAX(0,T177-Plan!$E$26))</f>
        <v/>
      </c>
      <c r="W177" s="48">
        <f>Z176</f>
        <v/>
      </c>
      <c r="X177" s="49">
        <f>IF(W177&gt;0,W177*Plan!$D$27/100/12,0)</f>
        <v/>
      </c>
      <c r="Y177" s="48">
        <f>IF(W177&lt;=0,0,MIN(W177+X177,Plan!$E$27+V177))</f>
        <v/>
      </c>
      <c r="Z177" s="50">
        <f>MAX(0,W177+X177-Y177)</f>
        <v/>
      </c>
      <c r="AA177" s="51">
        <f>V177-IF(W177&lt;=0,0,MAX(0,Y177-Plan!$E$27))</f>
        <v/>
      </c>
      <c r="AB177" s="48">
        <f>AE176</f>
        <v/>
      </c>
      <c r="AC177" s="49">
        <f>IF(AB177&gt;0,AB177*Plan!$D$28/100/12,0)</f>
        <v/>
      </c>
      <c r="AD177" s="48">
        <f>IF(AB177&lt;=0,0,MIN(AB177+AC177,Plan!$E$28+AA177))</f>
        <v/>
      </c>
      <c r="AE177" s="50">
        <f>MAX(0,AB177+AC177-AD177)</f>
        <v/>
      </c>
      <c r="AF177" s="51">
        <f>AA177-IF(AB177&lt;=0,0,MAX(0,AD177-Plan!$E$28))</f>
        <v/>
      </c>
      <c r="AG177" s="50">
        <f>F177+K177+P177+U177+Z177+AE177</f>
        <v/>
      </c>
    </row>
    <row r="178">
      <c r="A178" s="40" t="n">
        <v>171</v>
      </c>
      <c r="B178" s="41">
        <f>EDATE(Plan!$C$18,170)</f>
        <v/>
      </c>
      <c r="C178" s="42">
        <f>F177</f>
        <v/>
      </c>
      <c r="D178" s="43">
        <f>IF(C178&gt;0,C178*Plan!$D$23/100/12,0)</f>
        <v/>
      </c>
      <c r="E178" s="42">
        <f>IF(C178&lt;=0,0,MIN(C178+D178,Plan!$E$23+(Plan!$C$17+IF(C178&lt;=0,Plan!$E$23,MAX(0,Plan!$E$23-(C178+D178)))+IF(H178&lt;=0,Plan!$E$24,MAX(0,Plan!$E$24-(H178+I178)))+IF(M178&lt;=0,Plan!$E$25,MAX(0,Plan!$E$25-(M178+N178)))+IF(R178&lt;=0,Plan!$E$26,MAX(0,Plan!$E$26-(R178+S178)))+IF(W178&lt;=0,Plan!$E$27,MAX(0,Plan!$E$27-(W178+X178)))+IF(AB178&lt;=0,Plan!$E$28,MAX(0,Plan!$E$28-(AB178+AC178))))))</f>
        <v/>
      </c>
      <c r="F178" s="44">
        <f>MAX(0,C178+D178-E178)</f>
        <v/>
      </c>
      <c r="G178" s="45">
        <f>(Plan!$C$17+IF(C178&lt;=0,Plan!$E$23,MAX(0,Plan!$E$23-(C178+D178)))+IF(H178&lt;=0,Plan!$E$24,MAX(0,Plan!$E$24-(H178+I178)))+IF(M178&lt;=0,Plan!$E$25,MAX(0,Plan!$E$25-(M178+N178)))+IF(R178&lt;=0,Plan!$E$26,MAX(0,Plan!$E$26-(R178+S178)))+IF(W178&lt;=0,Plan!$E$27,MAX(0,Plan!$E$27-(W178+X178)))+IF(AB178&lt;=0,Plan!$E$28,MAX(0,Plan!$E$28-(AB178+AC178))))-IF(C178&lt;=0,0,MAX(0,E178-Plan!$E$23))</f>
        <v/>
      </c>
      <c r="H178" s="42">
        <f>K177</f>
        <v/>
      </c>
      <c r="I178" s="43">
        <f>IF(H178&gt;0,H178*Plan!$D$24/100/12,0)</f>
        <v/>
      </c>
      <c r="J178" s="42">
        <f>IF(H178&lt;=0,0,MIN(H178+I178,Plan!$E$24+G178))</f>
        <v/>
      </c>
      <c r="K178" s="44">
        <f>MAX(0,H178+I178-J178)</f>
        <v/>
      </c>
      <c r="L178" s="45">
        <f>G178-IF(H178&lt;=0,0,MAX(0,J178-Plan!$E$24))</f>
        <v/>
      </c>
      <c r="M178" s="42">
        <f>P177</f>
        <v/>
      </c>
      <c r="N178" s="43">
        <f>IF(M178&gt;0,M178*Plan!$D$25/100/12,0)</f>
        <v/>
      </c>
      <c r="O178" s="42">
        <f>IF(M178&lt;=0,0,MIN(M178+N178,Plan!$E$25+L178))</f>
        <v/>
      </c>
      <c r="P178" s="44">
        <f>MAX(0,M178+N178-O178)</f>
        <v/>
      </c>
      <c r="Q178" s="45">
        <f>L178-IF(M178&lt;=0,0,MAX(0,O178-Plan!$E$25))</f>
        <v/>
      </c>
      <c r="R178" s="42">
        <f>U177</f>
        <v/>
      </c>
      <c r="S178" s="43">
        <f>IF(R178&gt;0,R178*Plan!$D$26/100/12,0)</f>
        <v/>
      </c>
      <c r="T178" s="42">
        <f>IF(R178&lt;=0,0,MIN(R178+S178,Plan!$E$26+Q178))</f>
        <v/>
      </c>
      <c r="U178" s="44">
        <f>MAX(0,R178+S178-T178)</f>
        <v/>
      </c>
      <c r="V178" s="45">
        <f>Q178-IF(R178&lt;=0,0,MAX(0,T178-Plan!$E$26))</f>
        <v/>
      </c>
      <c r="W178" s="42">
        <f>Z177</f>
        <v/>
      </c>
      <c r="X178" s="43">
        <f>IF(W178&gt;0,W178*Plan!$D$27/100/12,0)</f>
        <v/>
      </c>
      <c r="Y178" s="42">
        <f>IF(W178&lt;=0,0,MIN(W178+X178,Plan!$E$27+V178))</f>
        <v/>
      </c>
      <c r="Z178" s="44">
        <f>MAX(0,W178+X178-Y178)</f>
        <v/>
      </c>
      <c r="AA178" s="45">
        <f>V178-IF(W178&lt;=0,0,MAX(0,Y178-Plan!$E$27))</f>
        <v/>
      </c>
      <c r="AB178" s="42">
        <f>AE177</f>
        <v/>
      </c>
      <c r="AC178" s="43">
        <f>IF(AB178&gt;0,AB178*Plan!$D$28/100/12,0)</f>
        <v/>
      </c>
      <c r="AD178" s="42">
        <f>IF(AB178&lt;=0,0,MIN(AB178+AC178,Plan!$E$28+AA178))</f>
        <v/>
      </c>
      <c r="AE178" s="44">
        <f>MAX(0,AB178+AC178-AD178)</f>
        <v/>
      </c>
      <c r="AF178" s="45">
        <f>AA178-IF(AB178&lt;=0,0,MAX(0,AD178-Plan!$E$28))</f>
        <v/>
      </c>
      <c r="AG178" s="44">
        <f>F178+K178+P178+U178+Z178+AE178</f>
        <v/>
      </c>
    </row>
    <row r="179">
      <c r="A179" s="46" t="n">
        <v>172</v>
      </c>
      <c r="B179" s="47">
        <f>EDATE(Plan!$C$18,171)</f>
        <v/>
      </c>
      <c r="C179" s="48">
        <f>F178</f>
        <v/>
      </c>
      <c r="D179" s="49">
        <f>IF(C179&gt;0,C179*Plan!$D$23/100/12,0)</f>
        <v/>
      </c>
      <c r="E179" s="48">
        <f>IF(C179&lt;=0,0,MIN(C179+D179,Plan!$E$23+(Plan!$C$17+IF(C179&lt;=0,Plan!$E$23,MAX(0,Plan!$E$23-(C179+D179)))+IF(H179&lt;=0,Plan!$E$24,MAX(0,Plan!$E$24-(H179+I179)))+IF(M179&lt;=0,Plan!$E$25,MAX(0,Plan!$E$25-(M179+N179)))+IF(R179&lt;=0,Plan!$E$26,MAX(0,Plan!$E$26-(R179+S179)))+IF(W179&lt;=0,Plan!$E$27,MAX(0,Plan!$E$27-(W179+X179)))+IF(AB179&lt;=0,Plan!$E$28,MAX(0,Plan!$E$28-(AB179+AC179))))))</f>
        <v/>
      </c>
      <c r="F179" s="50">
        <f>MAX(0,C179+D179-E179)</f>
        <v/>
      </c>
      <c r="G179" s="51">
        <f>(Plan!$C$17+IF(C179&lt;=0,Plan!$E$23,MAX(0,Plan!$E$23-(C179+D179)))+IF(H179&lt;=0,Plan!$E$24,MAX(0,Plan!$E$24-(H179+I179)))+IF(M179&lt;=0,Plan!$E$25,MAX(0,Plan!$E$25-(M179+N179)))+IF(R179&lt;=0,Plan!$E$26,MAX(0,Plan!$E$26-(R179+S179)))+IF(W179&lt;=0,Plan!$E$27,MAX(0,Plan!$E$27-(W179+X179)))+IF(AB179&lt;=0,Plan!$E$28,MAX(0,Plan!$E$28-(AB179+AC179))))-IF(C179&lt;=0,0,MAX(0,E179-Plan!$E$23))</f>
        <v/>
      </c>
      <c r="H179" s="48">
        <f>K178</f>
        <v/>
      </c>
      <c r="I179" s="49">
        <f>IF(H179&gt;0,H179*Plan!$D$24/100/12,0)</f>
        <v/>
      </c>
      <c r="J179" s="48">
        <f>IF(H179&lt;=0,0,MIN(H179+I179,Plan!$E$24+G179))</f>
        <v/>
      </c>
      <c r="K179" s="50">
        <f>MAX(0,H179+I179-J179)</f>
        <v/>
      </c>
      <c r="L179" s="51">
        <f>G179-IF(H179&lt;=0,0,MAX(0,J179-Plan!$E$24))</f>
        <v/>
      </c>
      <c r="M179" s="48">
        <f>P178</f>
        <v/>
      </c>
      <c r="N179" s="49">
        <f>IF(M179&gt;0,M179*Plan!$D$25/100/12,0)</f>
        <v/>
      </c>
      <c r="O179" s="48">
        <f>IF(M179&lt;=0,0,MIN(M179+N179,Plan!$E$25+L179))</f>
        <v/>
      </c>
      <c r="P179" s="50">
        <f>MAX(0,M179+N179-O179)</f>
        <v/>
      </c>
      <c r="Q179" s="51">
        <f>L179-IF(M179&lt;=0,0,MAX(0,O179-Plan!$E$25))</f>
        <v/>
      </c>
      <c r="R179" s="48">
        <f>U178</f>
        <v/>
      </c>
      <c r="S179" s="49">
        <f>IF(R179&gt;0,R179*Plan!$D$26/100/12,0)</f>
        <v/>
      </c>
      <c r="T179" s="48">
        <f>IF(R179&lt;=0,0,MIN(R179+S179,Plan!$E$26+Q179))</f>
        <v/>
      </c>
      <c r="U179" s="50">
        <f>MAX(0,R179+S179-T179)</f>
        <v/>
      </c>
      <c r="V179" s="51">
        <f>Q179-IF(R179&lt;=0,0,MAX(0,T179-Plan!$E$26))</f>
        <v/>
      </c>
      <c r="W179" s="48">
        <f>Z178</f>
        <v/>
      </c>
      <c r="X179" s="49">
        <f>IF(W179&gt;0,W179*Plan!$D$27/100/12,0)</f>
        <v/>
      </c>
      <c r="Y179" s="48">
        <f>IF(W179&lt;=0,0,MIN(W179+X179,Plan!$E$27+V179))</f>
        <v/>
      </c>
      <c r="Z179" s="50">
        <f>MAX(0,W179+X179-Y179)</f>
        <v/>
      </c>
      <c r="AA179" s="51">
        <f>V179-IF(W179&lt;=0,0,MAX(0,Y179-Plan!$E$27))</f>
        <v/>
      </c>
      <c r="AB179" s="48">
        <f>AE178</f>
        <v/>
      </c>
      <c r="AC179" s="49">
        <f>IF(AB179&gt;0,AB179*Plan!$D$28/100/12,0)</f>
        <v/>
      </c>
      <c r="AD179" s="48">
        <f>IF(AB179&lt;=0,0,MIN(AB179+AC179,Plan!$E$28+AA179))</f>
        <v/>
      </c>
      <c r="AE179" s="50">
        <f>MAX(0,AB179+AC179-AD179)</f>
        <v/>
      </c>
      <c r="AF179" s="51">
        <f>AA179-IF(AB179&lt;=0,0,MAX(0,AD179-Plan!$E$28))</f>
        <v/>
      </c>
      <c r="AG179" s="50">
        <f>F179+K179+P179+U179+Z179+AE179</f>
        <v/>
      </c>
    </row>
    <row r="180">
      <c r="A180" s="40" t="n">
        <v>173</v>
      </c>
      <c r="B180" s="41">
        <f>EDATE(Plan!$C$18,172)</f>
        <v/>
      </c>
      <c r="C180" s="42">
        <f>F179</f>
        <v/>
      </c>
      <c r="D180" s="43">
        <f>IF(C180&gt;0,C180*Plan!$D$23/100/12,0)</f>
        <v/>
      </c>
      <c r="E180" s="42">
        <f>IF(C180&lt;=0,0,MIN(C180+D180,Plan!$E$23+(Plan!$C$17+IF(C180&lt;=0,Plan!$E$23,MAX(0,Plan!$E$23-(C180+D180)))+IF(H180&lt;=0,Plan!$E$24,MAX(0,Plan!$E$24-(H180+I180)))+IF(M180&lt;=0,Plan!$E$25,MAX(0,Plan!$E$25-(M180+N180)))+IF(R180&lt;=0,Plan!$E$26,MAX(0,Plan!$E$26-(R180+S180)))+IF(W180&lt;=0,Plan!$E$27,MAX(0,Plan!$E$27-(W180+X180)))+IF(AB180&lt;=0,Plan!$E$28,MAX(0,Plan!$E$28-(AB180+AC180))))))</f>
        <v/>
      </c>
      <c r="F180" s="44">
        <f>MAX(0,C180+D180-E180)</f>
        <v/>
      </c>
      <c r="G180" s="45">
        <f>(Plan!$C$17+IF(C180&lt;=0,Plan!$E$23,MAX(0,Plan!$E$23-(C180+D180)))+IF(H180&lt;=0,Plan!$E$24,MAX(0,Plan!$E$24-(H180+I180)))+IF(M180&lt;=0,Plan!$E$25,MAX(0,Plan!$E$25-(M180+N180)))+IF(R180&lt;=0,Plan!$E$26,MAX(0,Plan!$E$26-(R180+S180)))+IF(W180&lt;=0,Plan!$E$27,MAX(0,Plan!$E$27-(W180+X180)))+IF(AB180&lt;=0,Plan!$E$28,MAX(0,Plan!$E$28-(AB180+AC180))))-IF(C180&lt;=0,0,MAX(0,E180-Plan!$E$23))</f>
        <v/>
      </c>
      <c r="H180" s="42">
        <f>K179</f>
        <v/>
      </c>
      <c r="I180" s="43">
        <f>IF(H180&gt;0,H180*Plan!$D$24/100/12,0)</f>
        <v/>
      </c>
      <c r="J180" s="42">
        <f>IF(H180&lt;=0,0,MIN(H180+I180,Plan!$E$24+G180))</f>
        <v/>
      </c>
      <c r="K180" s="44">
        <f>MAX(0,H180+I180-J180)</f>
        <v/>
      </c>
      <c r="L180" s="45">
        <f>G180-IF(H180&lt;=0,0,MAX(0,J180-Plan!$E$24))</f>
        <v/>
      </c>
      <c r="M180" s="42">
        <f>P179</f>
        <v/>
      </c>
      <c r="N180" s="43">
        <f>IF(M180&gt;0,M180*Plan!$D$25/100/12,0)</f>
        <v/>
      </c>
      <c r="O180" s="42">
        <f>IF(M180&lt;=0,0,MIN(M180+N180,Plan!$E$25+L180))</f>
        <v/>
      </c>
      <c r="P180" s="44">
        <f>MAX(0,M180+N180-O180)</f>
        <v/>
      </c>
      <c r="Q180" s="45">
        <f>L180-IF(M180&lt;=0,0,MAX(0,O180-Plan!$E$25))</f>
        <v/>
      </c>
      <c r="R180" s="42">
        <f>U179</f>
        <v/>
      </c>
      <c r="S180" s="43">
        <f>IF(R180&gt;0,R180*Plan!$D$26/100/12,0)</f>
        <v/>
      </c>
      <c r="T180" s="42">
        <f>IF(R180&lt;=0,0,MIN(R180+S180,Plan!$E$26+Q180))</f>
        <v/>
      </c>
      <c r="U180" s="44">
        <f>MAX(0,R180+S180-T180)</f>
        <v/>
      </c>
      <c r="V180" s="45">
        <f>Q180-IF(R180&lt;=0,0,MAX(0,T180-Plan!$E$26))</f>
        <v/>
      </c>
      <c r="W180" s="42">
        <f>Z179</f>
        <v/>
      </c>
      <c r="X180" s="43">
        <f>IF(W180&gt;0,W180*Plan!$D$27/100/12,0)</f>
        <v/>
      </c>
      <c r="Y180" s="42">
        <f>IF(W180&lt;=0,0,MIN(W180+X180,Plan!$E$27+V180))</f>
        <v/>
      </c>
      <c r="Z180" s="44">
        <f>MAX(0,W180+X180-Y180)</f>
        <v/>
      </c>
      <c r="AA180" s="45">
        <f>V180-IF(W180&lt;=0,0,MAX(0,Y180-Plan!$E$27))</f>
        <v/>
      </c>
      <c r="AB180" s="42">
        <f>AE179</f>
        <v/>
      </c>
      <c r="AC180" s="43">
        <f>IF(AB180&gt;0,AB180*Plan!$D$28/100/12,0)</f>
        <v/>
      </c>
      <c r="AD180" s="42">
        <f>IF(AB180&lt;=0,0,MIN(AB180+AC180,Plan!$E$28+AA180))</f>
        <v/>
      </c>
      <c r="AE180" s="44">
        <f>MAX(0,AB180+AC180-AD180)</f>
        <v/>
      </c>
      <c r="AF180" s="45">
        <f>AA180-IF(AB180&lt;=0,0,MAX(0,AD180-Plan!$E$28))</f>
        <v/>
      </c>
      <c r="AG180" s="44">
        <f>F180+K180+P180+U180+Z180+AE180</f>
        <v/>
      </c>
    </row>
    <row r="181">
      <c r="A181" s="46" t="n">
        <v>174</v>
      </c>
      <c r="B181" s="47">
        <f>EDATE(Plan!$C$18,173)</f>
        <v/>
      </c>
      <c r="C181" s="48">
        <f>F180</f>
        <v/>
      </c>
      <c r="D181" s="49">
        <f>IF(C181&gt;0,C181*Plan!$D$23/100/12,0)</f>
        <v/>
      </c>
      <c r="E181" s="48">
        <f>IF(C181&lt;=0,0,MIN(C181+D181,Plan!$E$23+(Plan!$C$17+IF(C181&lt;=0,Plan!$E$23,MAX(0,Plan!$E$23-(C181+D181)))+IF(H181&lt;=0,Plan!$E$24,MAX(0,Plan!$E$24-(H181+I181)))+IF(M181&lt;=0,Plan!$E$25,MAX(0,Plan!$E$25-(M181+N181)))+IF(R181&lt;=0,Plan!$E$26,MAX(0,Plan!$E$26-(R181+S181)))+IF(W181&lt;=0,Plan!$E$27,MAX(0,Plan!$E$27-(W181+X181)))+IF(AB181&lt;=0,Plan!$E$28,MAX(0,Plan!$E$28-(AB181+AC181))))))</f>
        <v/>
      </c>
      <c r="F181" s="50">
        <f>MAX(0,C181+D181-E181)</f>
        <v/>
      </c>
      <c r="G181" s="51">
        <f>(Plan!$C$17+IF(C181&lt;=0,Plan!$E$23,MAX(0,Plan!$E$23-(C181+D181)))+IF(H181&lt;=0,Plan!$E$24,MAX(0,Plan!$E$24-(H181+I181)))+IF(M181&lt;=0,Plan!$E$25,MAX(0,Plan!$E$25-(M181+N181)))+IF(R181&lt;=0,Plan!$E$26,MAX(0,Plan!$E$26-(R181+S181)))+IF(W181&lt;=0,Plan!$E$27,MAX(0,Plan!$E$27-(W181+X181)))+IF(AB181&lt;=0,Plan!$E$28,MAX(0,Plan!$E$28-(AB181+AC181))))-IF(C181&lt;=0,0,MAX(0,E181-Plan!$E$23))</f>
        <v/>
      </c>
      <c r="H181" s="48">
        <f>K180</f>
        <v/>
      </c>
      <c r="I181" s="49">
        <f>IF(H181&gt;0,H181*Plan!$D$24/100/12,0)</f>
        <v/>
      </c>
      <c r="J181" s="48">
        <f>IF(H181&lt;=0,0,MIN(H181+I181,Plan!$E$24+G181))</f>
        <v/>
      </c>
      <c r="K181" s="50">
        <f>MAX(0,H181+I181-J181)</f>
        <v/>
      </c>
      <c r="L181" s="51">
        <f>G181-IF(H181&lt;=0,0,MAX(0,J181-Plan!$E$24))</f>
        <v/>
      </c>
      <c r="M181" s="48">
        <f>P180</f>
        <v/>
      </c>
      <c r="N181" s="49">
        <f>IF(M181&gt;0,M181*Plan!$D$25/100/12,0)</f>
        <v/>
      </c>
      <c r="O181" s="48">
        <f>IF(M181&lt;=0,0,MIN(M181+N181,Plan!$E$25+L181))</f>
        <v/>
      </c>
      <c r="P181" s="50">
        <f>MAX(0,M181+N181-O181)</f>
        <v/>
      </c>
      <c r="Q181" s="51">
        <f>L181-IF(M181&lt;=0,0,MAX(0,O181-Plan!$E$25))</f>
        <v/>
      </c>
      <c r="R181" s="48">
        <f>U180</f>
        <v/>
      </c>
      <c r="S181" s="49">
        <f>IF(R181&gt;0,R181*Plan!$D$26/100/12,0)</f>
        <v/>
      </c>
      <c r="T181" s="48">
        <f>IF(R181&lt;=0,0,MIN(R181+S181,Plan!$E$26+Q181))</f>
        <v/>
      </c>
      <c r="U181" s="50">
        <f>MAX(0,R181+S181-T181)</f>
        <v/>
      </c>
      <c r="V181" s="51">
        <f>Q181-IF(R181&lt;=0,0,MAX(0,T181-Plan!$E$26))</f>
        <v/>
      </c>
      <c r="W181" s="48">
        <f>Z180</f>
        <v/>
      </c>
      <c r="X181" s="49">
        <f>IF(W181&gt;0,W181*Plan!$D$27/100/12,0)</f>
        <v/>
      </c>
      <c r="Y181" s="48">
        <f>IF(W181&lt;=0,0,MIN(W181+X181,Plan!$E$27+V181))</f>
        <v/>
      </c>
      <c r="Z181" s="50">
        <f>MAX(0,W181+X181-Y181)</f>
        <v/>
      </c>
      <c r="AA181" s="51">
        <f>V181-IF(W181&lt;=0,0,MAX(0,Y181-Plan!$E$27))</f>
        <v/>
      </c>
      <c r="AB181" s="48">
        <f>AE180</f>
        <v/>
      </c>
      <c r="AC181" s="49">
        <f>IF(AB181&gt;0,AB181*Plan!$D$28/100/12,0)</f>
        <v/>
      </c>
      <c r="AD181" s="48">
        <f>IF(AB181&lt;=0,0,MIN(AB181+AC181,Plan!$E$28+AA181))</f>
        <v/>
      </c>
      <c r="AE181" s="50">
        <f>MAX(0,AB181+AC181-AD181)</f>
        <v/>
      </c>
      <c r="AF181" s="51">
        <f>AA181-IF(AB181&lt;=0,0,MAX(0,AD181-Plan!$E$28))</f>
        <v/>
      </c>
      <c r="AG181" s="50">
        <f>F181+K181+P181+U181+Z181+AE181</f>
        <v/>
      </c>
    </row>
    <row r="182">
      <c r="A182" s="40" t="n">
        <v>175</v>
      </c>
      <c r="B182" s="41">
        <f>EDATE(Plan!$C$18,174)</f>
        <v/>
      </c>
      <c r="C182" s="42">
        <f>F181</f>
        <v/>
      </c>
      <c r="D182" s="43">
        <f>IF(C182&gt;0,C182*Plan!$D$23/100/12,0)</f>
        <v/>
      </c>
      <c r="E182" s="42">
        <f>IF(C182&lt;=0,0,MIN(C182+D182,Plan!$E$23+(Plan!$C$17+IF(C182&lt;=0,Plan!$E$23,MAX(0,Plan!$E$23-(C182+D182)))+IF(H182&lt;=0,Plan!$E$24,MAX(0,Plan!$E$24-(H182+I182)))+IF(M182&lt;=0,Plan!$E$25,MAX(0,Plan!$E$25-(M182+N182)))+IF(R182&lt;=0,Plan!$E$26,MAX(0,Plan!$E$26-(R182+S182)))+IF(W182&lt;=0,Plan!$E$27,MAX(0,Plan!$E$27-(W182+X182)))+IF(AB182&lt;=0,Plan!$E$28,MAX(0,Plan!$E$28-(AB182+AC182))))))</f>
        <v/>
      </c>
      <c r="F182" s="44">
        <f>MAX(0,C182+D182-E182)</f>
        <v/>
      </c>
      <c r="G182" s="45">
        <f>(Plan!$C$17+IF(C182&lt;=0,Plan!$E$23,MAX(0,Plan!$E$23-(C182+D182)))+IF(H182&lt;=0,Plan!$E$24,MAX(0,Plan!$E$24-(H182+I182)))+IF(M182&lt;=0,Plan!$E$25,MAX(0,Plan!$E$25-(M182+N182)))+IF(R182&lt;=0,Plan!$E$26,MAX(0,Plan!$E$26-(R182+S182)))+IF(W182&lt;=0,Plan!$E$27,MAX(0,Plan!$E$27-(W182+X182)))+IF(AB182&lt;=0,Plan!$E$28,MAX(0,Plan!$E$28-(AB182+AC182))))-IF(C182&lt;=0,0,MAX(0,E182-Plan!$E$23))</f>
        <v/>
      </c>
      <c r="H182" s="42">
        <f>K181</f>
        <v/>
      </c>
      <c r="I182" s="43">
        <f>IF(H182&gt;0,H182*Plan!$D$24/100/12,0)</f>
        <v/>
      </c>
      <c r="J182" s="42">
        <f>IF(H182&lt;=0,0,MIN(H182+I182,Plan!$E$24+G182))</f>
        <v/>
      </c>
      <c r="K182" s="44">
        <f>MAX(0,H182+I182-J182)</f>
        <v/>
      </c>
      <c r="L182" s="45">
        <f>G182-IF(H182&lt;=0,0,MAX(0,J182-Plan!$E$24))</f>
        <v/>
      </c>
      <c r="M182" s="42">
        <f>P181</f>
        <v/>
      </c>
      <c r="N182" s="43">
        <f>IF(M182&gt;0,M182*Plan!$D$25/100/12,0)</f>
        <v/>
      </c>
      <c r="O182" s="42">
        <f>IF(M182&lt;=0,0,MIN(M182+N182,Plan!$E$25+L182))</f>
        <v/>
      </c>
      <c r="P182" s="44">
        <f>MAX(0,M182+N182-O182)</f>
        <v/>
      </c>
      <c r="Q182" s="45">
        <f>L182-IF(M182&lt;=0,0,MAX(0,O182-Plan!$E$25))</f>
        <v/>
      </c>
      <c r="R182" s="42">
        <f>U181</f>
        <v/>
      </c>
      <c r="S182" s="43">
        <f>IF(R182&gt;0,R182*Plan!$D$26/100/12,0)</f>
        <v/>
      </c>
      <c r="T182" s="42">
        <f>IF(R182&lt;=0,0,MIN(R182+S182,Plan!$E$26+Q182))</f>
        <v/>
      </c>
      <c r="U182" s="44">
        <f>MAX(0,R182+S182-T182)</f>
        <v/>
      </c>
      <c r="V182" s="45">
        <f>Q182-IF(R182&lt;=0,0,MAX(0,T182-Plan!$E$26))</f>
        <v/>
      </c>
      <c r="W182" s="42">
        <f>Z181</f>
        <v/>
      </c>
      <c r="X182" s="43">
        <f>IF(W182&gt;0,W182*Plan!$D$27/100/12,0)</f>
        <v/>
      </c>
      <c r="Y182" s="42">
        <f>IF(W182&lt;=0,0,MIN(W182+X182,Plan!$E$27+V182))</f>
        <v/>
      </c>
      <c r="Z182" s="44">
        <f>MAX(0,W182+X182-Y182)</f>
        <v/>
      </c>
      <c r="AA182" s="45">
        <f>V182-IF(W182&lt;=0,0,MAX(0,Y182-Plan!$E$27))</f>
        <v/>
      </c>
      <c r="AB182" s="42">
        <f>AE181</f>
        <v/>
      </c>
      <c r="AC182" s="43">
        <f>IF(AB182&gt;0,AB182*Plan!$D$28/100/12,0)</f>
        <v/>
      </c>
      <c r="AD182" s="42">
        <f>IF(AB182&lt;=0,0,MIN(AB182+AC182,Plan!$E$28+AA182))</f>
        <v/>
      </c>
      <c r="AE182" s="44">
        <f>MAX(0,AB182+AC182-AD182)</f>
        <v/>
      </c>
      <c r="AF182" s="45">
        <f>AA182-IF(AB182&lt;=0,0,MAX(0,AD182-Plan!$E$28))</f>
        <v/>
      </c>
      <c r="AG182" s="44">
        <f>F182+K182+P182+U182+Z182+AE182</f>
        <v/>
      </c>
    </row>
    <row r="183">
      <c r="A183" s="46" t="n">
        <v>176</v>
      </c>
      <c r="B183" s="47">
        <f>EDATE(Plan!$C$18,175)</f>
        <v/>
      </c>
      <c r="C183" s="48">
        <f>F182</f>
        <v/>
      </c>
      <c r="D183" s="49">
        <f>IF(C183&gt;0,C183*Plan!$D$23/100/12,0)</f>
        <v/>
      </c>
      <c r="E183" s="48">
        <f>IF(C183&lt;=0,0,MIN(C183+D183,Plan!$E$23+(Plan!$C$17+IF(C183&lt;=0,Plan!$E$23,MAX(0,Plan!$E$23-(C183+D183)))+IF(H183&lt;=0,Plan!$E$24,MAX(0,Plan!$E$24-(H183+I183)))+IF(M183&lt;=0,Plan!$E$25,MAX(0,Plan!$E$25-(M183+N183)))+IF(R183&lt;=0,Plan!$E$26,MAX(0,Plan!$E$26-(R183+S183)))+IF(W183&lt;=0,Plan!$E$27,MAX(0,Plan!$E$27-(W183+X183)))+IF(AB183&lt;=0,Plan!$E$28,MAX(0,Plan!$E$28-(AB183+AC183))))))</f>
        <v/>
      </c>
      <c r="F183" s="50">
        <f>MAX(0,C183+D183-E183)</f>
        <v/>
      </c>
      <c r="G183" s="51">
        <f>(Plan!$C$17+IF(C183&lt;=0,Plan!$E$23,MAX(0,Plan!$E$23-(C183+D183)))+IF(H183&lt;=0,Plan!$E$24,MAX(0,Plan!$E$24-(H183+I183)))+IF(M183&lt;=0,Plan!$E$25,MAX(0,Plan!$E$25-(M183+N183)))+IF(R183&lt;=0,Plan!$E$26,MAX(0,Plan!$E$26-(R183+S183)))+IF(W183&lt;=0,Plan!$E$27,MAX(0,Plan!$E$27-(W183+X183)))+IF(AB183&lt;=0,Plan!$E$28,MAX(0,Plan!$E$28-(AB183+AC183))))-IF(C183&lt;=0,0,MAX(0,E183-Plan!$E$23))</f>
        <v/>
      </c>
      <c r="H183" s="48">
        <f>K182</f>
        <v/>
      </c>
      <c r="I183" s="49">
        <f>IF(H183&gt;0,H183*Plan!$D$24/100/12,0)</f>
        <v/>
      </c>
      <c r="J183" s="48">
        <f>IF(H183&lt;=0,0,MIN(H183+I183,Plan!$E$24+G183))</f>
        <v/>
      </c>
      <c r="K183" s="50">
        <f>MAX(0,H183+I183-J183)</f>
        <v/>
      </c>
      <c r="L183" s="51">
        <f>G183-IF(H183&lt;=0,0,MAX(0,J183-Plan!$E$24))</f>
        <v/>
      </c>
      <c r="M183" s="48">
        <f>P182</f>
        <v/>
      </c>
      <c r="N183" s="49">
        <f>IF(M183&gt;0,M183*Plan!$D$25/100/12,0)</f>
        <v/>
      </c>
      <c r="O183" s="48">
        <f>IF(M183&lt;=0,0,MIN(M183+N183,Plan!$E$25+L183))</f>
        <v/>
      </c>
      <c r="P183" s="50">
        <f>MAX(0,M183+N183-O183)</f>
        <v/>
      </c>
      <c r="Q183" s="51">
        <f>L183-IF(M183&lt;=0,0,MAX(0,O183-Plan!$E$25))</f>
        <v/>
      </c>
      <c r="R183" s="48">
        <f>U182</f>
        <v/>
      </c>
      <c r="S183" s="49">
        <f>IF(R183&gt;0,R183*Plan!$D$26/100/12,0)</f>
        <v/>
      </c>
      <c r="T183" s="48">
        <f>IF(R183&lt;=0,0,MIN(R183+S183,Plan!$E$26+Q183))</f>
        <v/>
      </c>
      <c r="U183" s="50">
        <f>MAX(0,R183+S183-T183)</f>
        <v/>
      </c>
      <c r="V183" s="51">
        <f>Q183-IF(R183&lt;=0,0,MAX(0,T183-Plan!$E$26))</f>
        <v/>
      </c>
      <c r="W183" s="48">
        <f>Z182</f>
        <v/>
      </c>
      <c r="X183" s="49">
        <f>IF(W183&gt;0,W183*Plan!$D$27/100/12,0)</f>
        <v/>
      </c>
      <c r="Y183" s="48">
        <f>IF(W183&lt;=0,0,MIN(W183+X183,Plan!$E$27+V183))</f>
        <v/>
      </c>
      <c r="Z183" s="50">
        <f>MAX(0,W183+X183-Y183)</f>
        <v/>
      </c>
      <c r="AA183" s="51">
        <f>V183-IF(W183&lt;=0,0,MAX(0,Y183-Plan!$E$27))</f>
        <v/>
      </c>
      <c r="AB183" s="48">
        <f>AE182</f>
        <v/>
      </c>
      <c r="AC183" s="49">
        <f>IF(AB183&gt;0,AB183*Plan!$D$28/100/12,0)</f>
        <v/>
      </c>
      <c r="AD183" s="48">
        <f>IF(AB183&lt;=0,0,MIN(AB183+AC183,Plan!$E$28+AA183))</f>
        <v/>
      </c>
      <c r="AE183" s="50">
        <f>MAX(0,AB183+AC183-AD183)</f>
        <v/>
      </c>
      <c r="AF183" s="51">
        <f>AA183-IF(AB183&lt;=0,0,MAX(0,AD183-Plan!$E$28))</f>
        <v/>
      </c>
      <c r="AG183" s="50">
        <f>F183+K183+P183+U183+Z183+AE183</f>
        <v/>
      </c>
    </row>
    <row r="184">
      <c r="A184" s="40" t="n">
        <v>177</v>
      </c>
      <c r="B184" s="41">
        <f>EDATE(Plan!$C$18,176)</f>
        <v/>
      </c>
      <c r="C184" s="42">
        <f>F183</f>
        <v/>
      </c>
      <c r="D184" s="43">
        <f>IF(C184&gt;0,C184*Plan!$D$23/100/12,0)</f>
        <v/>
      </c>
      <c r="E184" s="42">
        <f>IF(C184&lt;=0,0,MIN(C184+D184,Plan!$E$23+(Plan!$C$17+IF(C184&lt;=0,Plan!$E$23,MAX(0,Plan!$E$23-(C184+D184)))+IF(H184&lt;=0,Plan!$E$24,MAX(0,Plan!$E$24-(H184+I184)))+IF(M184&lt;=0,Plan!$E$25,MAX(0,Plan!$E$25-(M184+N184)))+IF(R184&lt;=0,Plan!$E$26,MAX(0,Plan!$E$26-(R184+S184)))+IF(W184&lt;=0,Plan!$E$27,MAX(0,Plan!$E$27-(W184+X184)))+IF(AB184&lt;=0,Plan!$E$28,MAX(0,Plan!$E$28-(AB184+AC184))))))</f>
        <v/>
      </c>
      <c r="F184" s="44">
        <f>MAX(0,C184+D184-E184)</f>
        <v/>
      </c>
      <c r="G184" s="45">
        <f>(Plan!$C$17+IF(C184&lt;=0,Plan!$E$23,MAX(0,Plan!$E$23-(C184+D184)))+IF(H184&lt;=0,Plan!$E$24,MAX(0,Plan!$E$24-(H184+I184)))+IF(M184&lt;=0,Plan!$E$25,MAX(0,Plan!$E$25-(M184+N184)))+IF(R184&lt;=0,Plan!$E$26,MAX(0,Plan!$E$26-(R184+S184)))+IF(W184&lt;=0,Plan!$E$27,MAX(0,Plan!$E$27-(W184+X184)))+IF(AB184&lt;=0,Plan!$E$28,MAX(0,Plan!$E$28-(AB184+AC184))))-IF(C184&lt;=0,0,MAX(0,E184-Plan!$E$23))</f>
        <v/>
      </c>
      <c r="H184" s="42">
        <f>K183</f>
        <v/>
      </c>
      <c r="I184" s="43">
        <f>IF(H184&gt;0,H184*Plan!$D$24/100/12,0)</f>
        <v/>
      </c>
      <c r="J184" s="42">
        <f>IF(H184&lt;=0,0,MIN(H184+I184,Plan!$E$24+G184))</f>
        <v/>
      </c>
      <c r="K184" s="44">
        <f>MAX(0,H184+I184-J184)</f>
        <v/>
      </c>
      <c r="L184" s="45">
        <f>G184-IF(H184&lt;=0,0,MAX(0,J184-Plan!$E$24))</f>
        <v/>
      </c>
      <c r="M184" s="42">
        <f>P183</f>
        <v/>
      </c>
      <c r="N184" s="43">
        <f>IF(M184&gt;0,M184*Plan!$D$25/100/12,0)</f>
        <v/>
      </c>
      <c r="O184" s="42">
        <f>IF(M184&lt;=0,0,MIN(M184+N184,Plan!$E$25+L184))</f>
        <v/>
      </c>
      <c r="P184" s="44">
        <f>MAX(0,M184+N184-O184)</f>
        <v/>
      </c>
      <c r="Q184" s="45">
        <f>L184-IF(M184&lt;=0,0,MAX(0,O184-Plan!$E$25))</f>
        <v/>
      </c>
      <c r="R184" s="42">
        <f>U183</f>
        <v/>
      </c>
      <c r="S184" s="43">
        <f>IF(R184&gt;0,R184*Plan!$D$26/100/12,0)</f>
        <v/>
      </c>
      <c r="T184" s="42">
        <f>IF(R184&lt;=0,0,MIN(R184+S184,Plan!$E$26+Q184))</f>
        <v/>
      </c>
      <c r="U184" s="44">
        <f>MAX(0,R184+S184-T184)</f>
        <v/>
      </c>
      <c r="V184" s="45">
        <f>Q184-IF(R184&lt;=0,0,MAX(0,T184-Plan!$E$26))</f>
        <v/>
      </c>
      <c r="W184" s="42">
        <f>Z183</f>
        <v/>
      </c>
      <c r="X184" s="43">
        <f>IF(W184&gt;0,W184*Plan!$D$27/100/12,0)</f>
        <v/>
      </c>
      <c r="Y184" s="42">
        <f>IF(W184&lt;=0,0,MIN(W184+X184,Plan!$E$27+V184))</f>
        <v/>
      </c>
      <c r="Z184" s="44">
        <f>MAX(0,W184+X184-Y184)</f>
        <v/>
      </c>
      <c r="AA184" s="45">
        <f>V184-IF(W184&lt;=0,0,MAX(0,Y184-Plan!$E$27))</f>
        <v/>
      </c>
      <c r="AB184" s="42">
        <f>AE183</f>
        <v/>
      </c>
      <c r="AC184" s="43">
        <f>IF(AB184&gt;0,AB184*Plan!$D$28/100/12,0)</f>
        <v/>
      </c>
      <c r="AD184" s="42">
        <f>IF(AB184&lt;=0,0,MIN(AB184+AC184,Plan!$E$28+AA184))</f>
        <v/>
      </c>
      <c r="AE184" s="44">
        <f>MAX(0,AB184+AC184-AD184)</f>
        <v/>
      </c>
      <c r="AF184" s="45">
        <f>AA184-IF(AB184&lt;=0,0,MAX(0,AD184-Plan!$E$28))</f>
        <v/>
      </c>
      <c r="AG184" s="44">
        <f>F184+K184+P184+U184+Z184+AE184</f>
        <v/>
      </c>
    </row>
    <row r="185">
      <c r="A185" s="46" t="n">
        <v>178</v>
      </c>
      <c r="B185" s="47">
        <f>EDATE(Plan!$C$18,177)</f>
        <v/>
      </c>
      <c r="C185" s="48">
        <f>F184</f>
        <v/>
      </c>
      <c r="D185" s="49">
        <f>IF(C185&gt;0,C185*Plan!$D$23/100/12,0)</f>
        <v/>
      </c>
      <c r="E185" s="48">
        <f>IF(C185&lt;=0,0,MIN(C185+D185,Plan!$E$23+(Plan!$C$17+IF(C185&lt;=0,Plan!$E$23,MAX(0,Plan!$E$23-(C185+D185)))+IF(H185&lt;=0,Plan!$E$24,MAX(0,Plan!$E$24-(H185+I185)))+IF(M185&lt;=0,Plan!$E$25,MAX(0,Plan!$E$25-(M185+N185)))+IF(R185&lt;=0,Plan!$E$26,MAX(0,Plan!$E$26-(R185+S185)))+IF(W185&lt;=0,Plan!$E$27,MAX(0,Plan!$E$27-(W185+X185)))+IF(AB185&lt;=0,Plan!$E$28,MAX(0,Plan!$E$28-(AB185+AC185))))))</f>
        <v/>
      </c>
      <c r="F185" s="50">
        <f>MAX(0,C185+D185-E185)</f>
        <v/>
      </c>
      <c r="G185" s="51">
        <f>(Plan!$C$17+IF(C185&lt;=0,Plan!$E$23,MAX(0,Plan!$E$23-(C185+D185)))+IF(H185&lt;=0,Plan!$E$24,MAX(0,Plan!$E$24-(H185+I185)))+IF(M185&lt;=0,Plan!$E$25,MAX(0,Plan!$E$25-(M185+N185)))+IF(R185&lt;=0,Plan!$E$26,MAX(0,Plan!$E$26-(R185+S185)))+IF(W185&lt;=0,Plan!$E$27,MAX(0,Plan!$E$27-(W185+X185)))+IF(AB185&lt;=0,Plan!$E$28,MAX(0,Plan!$E$28-(AB185+AC185))))-IF(C185&lt;=0,0,MAX(0,E185-Plan!$E$23))</f>
        <v/>
      </c>
      <c r="H185" s="48">
        <f>K184</f>
        <v/>
      </c>
      <c r="I185" s="49">
        <f>IF(H185&gt;0,H185*Plan!$D$24/100/12,0)</f>
        <v/>
      </c>
      <c r="J185" s="48">
        <f>IF(H185&lt;=0,0,MIN(H185+I185,Plan!$E$24+G185))</f>
        <v/>
      </c>
      <c r="K185" s="50">
        <f>MAX(0,H185+I185-J185)</f>
        <v/>
      </c>
      <c r="L185" s="51">
        <f>G185-IF(H185&lt;=0,0,MAX(0,J185-Plan!$E$24))</f>
        <v/>
      </c>
      <c r="M185" s="48">
        <f>P184</f>
        <v/>
      </c>
      <c r="N185" s="49">
        <f>IF(M185&gt;0,M185*Plan!$D$25/100/12,0)</f>
        <v/>
      </c>
      <c r="O185" s="48">
        <f>IF(M185&lt;=0,0,MIN(M185+N185,Plan!$E$25+L185))</f>
        <v/>
      </c>
      <c r="P185" s="50">
        <f>MAX(0,M185+N185-O185)</f>
        <v/>
      </c>
      <c r="Q185" s="51">
        <f>L185-IF(M185&lt;=0,0,MAX(0,O185-Plan!$E$25))</f>
        <v/>
      </c>
      <c r="R185" s="48">
        <f>U184</f>
        <v/>
      </c>
      <c r="S185" s="49">
        <f>IF(R185&gt;0,R185*Plan!$D$26/100/12,0)</f>
        <v/>
      </c>
      <c r="T185" s="48">
        <f>IF(R185&lt;=0,0,MIN(R185+S185,Plan!$E$26+Q185))</f>
        <v/>
      </c>
      <c r="U185" s="50">
        <f>MAX(0,R185+S185-T185)</f>
        <v/>
      </c>
      <c r="V185" s="51">
        <f>Q185-IF(R185&lt;=0,0,MAX(0,T185-Plan!$E$26))</f>
        <v/>
      </c>
      <c r="W185" s="48">
        <f>Z184</f>
        <v/>
      </c>
      <c r="X185" s="49">
        <f>IF(W185&gt;0,W185*Plan!$D$27/100/12,0)</f>
        <v/>
      </c>
      <c r="Y185" s="48">
        <f>IF(W185&lt;=0,0,MIN(W185+X185,Plan!$E$27+V185))</f>
        <v/>
      </c>
      <c r="Z185" s="50">
        <f>MAX(0,W185+X185-Y185)</f>
        <v/>
      </c>
      <c r="AA185" s="51">
        <f>V185-IF(W185&lt;=0,0,MAX(0,Y185-Plan!$E$27))</f>
        <v/>
      </c>
      <c r="AB185" s="48">
        <f>AE184</f>
        <v/>
      </c>
      <c r="AC185" s="49">
        <f>IF(AB185&gt;0,AB185*Plan!$D$28/100/12,0)</f>
        <v/>
      </c>
      <c r="AD185" s="48">
        <f>IF(AB185&lt;=0,0,MIN(AB185+AC185,Plan!$E$28+AA185))</f>
        <v/>
      </c>
      <c r="AE185" s="50">
        <f>MAX(0,AB185+AC185-AD185)</f>
        <v/>
      </c>
      <c r="AF185" s="51">
        <f>AA185-IF(AB185&lt;=0,0,MAX(0,AD185-Plan!$E$28))</f>
        <v/>
      </c>
      <c r="AG185" s="50">
        <f>F185+K185+P185+U185+Z185+AE185</f>
        <v/>
      </c>
    </row>
    <row r="186">
      <c r="A186" s="40" t="n">
        <v>179</v>
      </c>
      <c r="B186" s="41">
        <f>EDATE(Plan!$C$18,178)</f>
        <v/>
      </c>
      <c r="C186" s="42">
        <f>F185</f>
        <v/>
      </c>
      <c r="D186" s="43">
        <f>IF(C186&gt;0,C186*Plan!$D$23/100/12,0)</f>
        <v/>
      </c>
      <c r="E186" s="42">
        <f>IF(C186&lt;=0,0,MIN(C186+D186,Plan!$E$23+(Plan!$C$17+IF(C186&lt;=0,Plan!$E$23,MAX(0,Plan!$E$23-(C186+D186)))+IF(H186&lt;=0,Plan!$E$24,MAX(0,Plan!$E$24-(H186+I186)))+IF(M186&lt;=0,Plan!$E$25,MAX(0,Plan!$E$25-(M186+N186)))+IF(R186&lt;=0,Plan!$E$26,MAX(0,Plan!$E$26-(R186+S186)))+IF(W186&lt;=0,Plan!$E$27,MAX(0,Plan!$E$27-(W186+X186)))+IF(AB186&lt;=0,Plan!$E$28,MAX(0,Plan!$E$28-(AB186+AC186))))))</f>
        <v/>
      </c>
      <c r="F186" s="44">
        <f>MAX(0,C186+D186-E186)</f>
        <v/>
      </c>
      <c r="G186" s="45">
        <f>(Plan!$C$17+IF(C186&lt;=0,Plan!$E$23,MAX(0,Plan!$E$23-(C186+D186)))+IF(H186&lt;=0,Plan!$E$24,MAX(0,Plan!$E$24-(H186+I186)))+IF(M186&lt;=0,Plan!$E$25,MAX(0,Plan!$E$25-(M186+N186)))+IF(R186&lt;=0,Plan!$E$26,MAX(0,Plan!$E$26-(R186+S186)))+IF(W186&lt;=0,Plan!$E$27,MAX(0,Plan!$E$27-(W186+X186)))+IF(AB186&lt;=0,Plan!$E$28,MAX(0,Plan!$E$28-(AB186+AC186))))-IF(C186&lt;=0,0,MAX(0,E186-Plan!$E$23))</f>
        <v/>
      </c>
      <c r="H186" s="42">
        <f>K185</f>
        <v/>
      </c>
      <c r="I186" s="43">
        <f>IF(H186&gt;0,H186*Plan!$D$24/100/12,0)</f>
        <v/>
      </c>
      <c r="J186" s="42">
        <f>IF(H186&lt;=0,0,MIN(H186+I186,Plan!$E$24+G186))</f>
        <v/>
      </c>
      <c r="K186" s="44">
        <f>MAX(0,H186+I186-J186)</f>
        <v/>
      </c>
      <c r="L186" s="45">
        <f>G186-IF(H186&lt;=0,0,MAX(0,J186-Plan!$E$24))</f>
        <v/>
      </c>
      <c r="M186" s="42">
        <f>P185</f>
        <v/>
      </c>
      <c r="N186" s="43">
        <f>IF(M186&gt;0,M186*Plan!$D$25/100/12,0)</f>
        <v/>
      </c>
      <c r="O186" s="42">
        <f>IF(M186&lt;=0,0,MIN(M186+N186,Plan!$E$25+L186))</f>
        <v/>
      </c>
      <c r="P186" s="44">
        <f>MAX(0,M186+N186-O186)</f>
        <v/>
      </c>
      <c r="Q186" s="45">
        <f>L186-IF(M186&lt;=0,0,MAX(0,O186-Plan!$E$25))</f>
        <v/>
      </c>
      <c r="R186" s="42">
        <f>U185</f>
        <v/>
      </c>
      <c r="S186" s="43">
        <f>IF(R186&gt;0,R186*Plan!$D$26/100/12,0)</f>
        <v/>
      </c>
      <c r="T186" s="42">
        <f>IF(R186&lt;=0,0,MIN(R186+S186,Plan!$E$26+Q186))</f>
        <v/>
      </c>
      <c r="U186" s="44">
        <f>MAX(0,R186+S186-T186)</f>
        <v/>
      </c>
      <c r="V186" s="45">
        <f>Q186-IF(R186&lt;=0,0,MAX(0,T186-Plan!$E$26))</f>
        <v/>
      </c>
      <c r="W186" s="42">
        <f>Z185</f>
        <v/>
      </c>
      <c r="X186" s="43">
        <f>IF(W186&gt;0,W186*Plan!$D$27/100/12,0)</f>
        <v/>
      </c>
      <c r="Y186" s="42">
        <f>IF(W186&lt;=0,0,MIN(W186+X186,Plan!$E$27+V186))</f>
        <v/>
      </c>
      <c r="Z186" s="44">
        <f>MAX(0,W186+X186-Y186)</f>
        <v/>
      </c>
      <c r="AA186" s="45">
        <f>V186-IF(W186&lt;=0,0,MAX(0,Y186-Plan!$E$27))</f>
        <v/>
      </c>
      <c r="AB186" s="42">
        <f>AE185</f>
        <v/>
      </c>
      <c r="AC186" s="43">
        <f>IF(AB186&gt;0,AB186*Plan!$D$28/100/12,0)</f>
        <v/>
      </c>
      <c r="AD186" s="42">
        <f>IF(AB186&lt;=0,0,MIN(AB186+AC186,Plan!$E$28+AA186))</f>
        <v/>
      </c>
      <c r="AE186" s="44">
        <f>MAX(0,AB186+AC186-AD186)</f>
        <v/>
      </c>
      <c r="AF186" s="45">
        <f>AA186-IF(AB186&lt;=0,0,MAX(0,AD186-Plan!$E$28))</f>
        <v/>
      </c>
      <c r="AG186" s="44">
        <f>F186+K186+P186+U186+Z186+AE186</f>
        <v/>
      </c>
    </row>
    <row r="187">
      <c r="A187" s="46" t="n">
        <v>180</v>
      </c>
      <c r="B187" s="47">
        <f>EDATE(Plan!$C$18,179)</f>
        <v/>
      </c>
      <c r="C187" s="48">
        <f>F186</f>
        <v/>
      </c>
      <c r="D187" s="49">
        <f>IF(C187&gt;0,C187*Plan!$D$23/100/12,0)</f>
        <v/>
      </c>
      <c r="E187" s="48">
        <f>IF(C187&lt;=0,0,MIN(C187+D187,Plan!$E$23+(Plan!$C$17+IF(C187&lt;=0,Plan!$E$23,MAX(0,Plan!$E$23-(C187+D187)))+IF(H187&lt;=0,Plan!$E$24,MAX(0,Plan!$E$24-(H187+I187)))+IF(M187&lt;=0,Plan!$E$25,MAX(0,Plan!$E$25-(M187+N187)))+IF(R187&lt;=0,Plan!$E$26,MAX(0,Plan!$E$26-(R187+S187)))+IF(W187&lt;=0,Plan!$E$27,MAX(0,Plan!$E$27-(W187+X187)))+IF(AB187&lt;=0,Plan!$E$28,MAX(0,Plan!$E$28-(AB187+AC187))))))</f>
        <v/>
      </c>
      <c r="F187" s="50">
        <f>MAX(0,C187+D187-E187)</f>
        <v/>
      </c>
      <c r="G187" s="51">
        <f>(Plan!$C$17+IF(C187&lt;=0,Plan!$E$23,MAX(0,Plan!$E$23-(C187+D187)))+IF(H187&lt;=0,Plan!$E$24,MAX(0,Plan!$E$24-(H187+I187)))+IF(M187&lt;=0,Plan!$E$25,MAX(0,Plan!$E$25-(M187+N187)))+IF(R187&lt;=0,Plan!$E$26,MAX(0,Plan!$E$26-(R187+S187)))+IF(W187&lt;=0,Plan!$E$27,MAX(0,Plan!$E$27-(W187+X187)))+IF(AB187&lt;=0,Plan!$E$28,MAX(0,Plan!$E$28-(AB187+AC187))))-IF(C187&lt;=0,0,MAX(0,E187-Plan!$E$23))</f>
        <v/>
      </c>
      <c r="H187" s="48">
        <f>K186</f>
        <v/>
      </c>
      <c r="I187" s="49">
        <f>IF(H187&gt;0,H187*Plan!$D$24/100/12,0)</f>
        <v/>
      </c>
      <c r="J187" s="48">
        <f>IF(H187&lt;=0,0,MIN(H187+I187,Plan!$E$24+G187))</f>
        <v/>
      </c>
      <c r="K187" s="50">
        <f>MAX(0,H187+I187-J187)</f>
        <v/>
      </c>
      <c r="L187" s="51">
        <f>G187-IF(H187&lt;=0,0,MAX(0,J187-Plan!$E$24))</f>
        <v/>
      </c>
      <c r="M187" s="48">
        <f>P186</f>
        <v/>
      </c>
      <c r="N187" s="49">
        <f>IF(M187&gt;0,M187*Plan!$D$25/100/12,0)</f>
        <v/>
      </c>
      <c r="O187" s="48">
        <f>IF(M187&lt;=0,0,MIN(M187+N187,Plan!$E$25+L187))</f>
        <v/>
      </c>
      <c r="P187" s="50">
        <f>MAX(0,M187+N187-O187)</f>
        <v/>
      </c>
      <c r="Q187" s="51">
        <f>L187-IF(M187&lt;=0,0,MAX(0,O187-Plan!$E$25))</f>
        <v/>
      </c>
      <c r="R187" s="48">
        <f>U186</f>
        <v/>
      </c>
      <c r="S187" s="49">
        <f>IF(R187&gt;0,R187*Plan!$D$26/100/12,0)</f>
        <v/>
      </c>
      <c r="T187" s="48">
        <f>IF(R187&lt;=0,0,MIN(R187+S187,Plan!$E$26+Q187))</f>
        <v/>
      </c>
      <c r="U187" s="50">
        <f>MAX(0,R187+S187-T187)</f>
        <v/>
      </c>
      <c r="V187" s="51">
        <f>Q187-IF(R187&lt;=0,0,MAX(0,T187-Plan!$E$26))</f>
        <v/>
      </c>
      <c r="W187" s="48">
        <f>Z186</f>
        <v/>
      </c>
      <c r="X187" s="49">
        <f>IF(W187&gt;0,W187*Plan!$D$27/100/12,0)</f>
        <v/>
      </c>
      <c r="Y187" s="48">
        <f>IF(W187&lt;=0,0,MIN(W187+X187,Plan!$E$27+V187))</f>
        <v/>
      </c>
      <c r="Z187" s="50">
        <f>MAX(0,W187+X187-Y187)</f>
        <v/>
      </c>
      <c r="AA187" s="51">
        <f>V187-IF(W187&lt;=0,0,MAX(0,Y187-Plan!$E$27))</f>
        <v/>
      </c>
      <c r="AB187" s="48">
        <f>AE186</f>
        <v/>
      </c>
      <c r="AC187" s="49">
        <f>IF(AB187&gt;0,AB187*Plan!$D$28/100/12,0)</f>
        <v/>
      </c>
      <c r="AD187" s="48">
        <f>IF(AB187&lt;=0,0,MIN(AB187+AC187,Plan!$E$28+AA187))</f>
        <v/>
      </c>
      <c r="AE187" s="50">
        <f>MAX(0,AB187+AC187-AD187)</f>
        <v/>
      </c>
      <c r="AF187" s="51">
        <f>AA187-IF(AB187&lt;=0,0,MAX(0,AD187-Plan!$E$28))</f>
        <v/>
      </c>
      <c r="AG187" s="50">
        <f>F187+K187+P187+U187+Z187+AE187</f>
        <v/>
      </c>
    </row>
    <row r="188">
      <c r="A188" s="40" t="n">
        <v>181</v>
      </c>
      <c r="B188" s="41">
        <f>EDATE(Plan!$C$18,180)</f>
        <v/>
      </c>
      <c r="C188" s="42">
        <f>F187</f>
        <v/>
      </c>
      <c r="D188" s="43">
        <f>IF(C188&gt;0,C188*Plan!$D$23/100/12,0)</f>
        <v/>
      </c>
      <c r="E188" s="42">
        <f>IF(C188&lt;=0,0,MIN(C188+D188,Plan!$E$23+(Plan!$C$17+IF(C188&lt;=0,Plan!$E$23,MAX(0,Plan!$E$23-(C188+D188)))+IF(H188&lt;=0,Plan!$E$24,MAX(0,Plan!$E$24-(H188+I188)))+IF(M188&lt;=0,Plan!$E$25,MAX(0,Plan!$E$25-(M188+N188)))+IF(R188&lt;=0,Plan!$E$26,MAX(0,Plan!$E$26-(R188+S188)))+IF(W188&lt;=0,Plan!$E$27,MAX(0,Plan!$E$27-(W188+X188)))+IF(AB188&lt;=0,Plan!$E$28,MAX(0,Plan!$E$28-(AB188+AC188))))))</f>
        <v/>
      </c>
      <c r="F188" s="44">
        <f>MAX(0,C188+D188-E188)</f>
        <v/>
      </c>
      <c r="G188" s="45">
        <f>(Plan!$C$17+IF(C188&lt;=0,Plan!$E$23,MAX(0,Plan!$E$23-(C188+D188)))+IF(H188&lt;=0,Plan!$E$24,MAX(0,Plan!$E$24-(H188+I188)))+IF(M188&lt;=0,Plan!$E$25,MAX(0,Plan!$E$25-(M188+N188)))+IF(R188&lt;=0,Plan!$E$26,MAX(0,Plan!$E$26-(R188+S188)))+IF(W188&lt;=0,Plan!$E$27,MAX(0,Plan!$E$27-(W188+X188)))+IF(AB188&lt;=0,Plan!$E$28,MAX(0,Plan!$E$28-(AB188+AC188))))-IF(C188&lt;=0,0,MAX(0,E188-Plan!$E$23))</f>
        <v/>
      </c>
      <c r="H188" s="42">
        <f>K187</f>
        <v/>
      </c>
      <c r="I188" s="43">
        <f>IF(H188&gt;0,H188*Plan!$D$24/100/12,0)</f>
        <v/>
      </c>
      <c r="J188" s="42">
        <f>IF(H188&lt;=0,0,MIN(H188+I188,Plan!$E$24+G188))</f>
        <v/>
      </c>
      <c r="K188" s="44">
        <f>MAX(0,H188+I188-J188)</f>
        <v/>
      </c>
      <c r="L188" s="45">
        <f>G188-IF(H188&lt;=0,0,MAX(0,J188-Plan!$E$24))</f>
        <v/>
      </c>
      <c r="M188" s="42">
        <f>P187</f>
        <v/>
      </c>
      <c r="N188" s="43">
        <f>IF(M188&gt;0,M188*Plan!$D$25/100/12,0)</f>
        <v/>
      </c>
      <c r="O188" s="42">
        <f>IF(M188&lt;=0,0,MIN(M188+N188,Plan!$E$25+L188))</f>
        <v/>
      </c>
      <c r="P188" s="44">
        <f>MAX(0,M188+N188-O188)</f>
        <v/>
      </c>
      <c r="Q188" s="45">
        <f>L188-IF(M188&lt;=0,0,MAX(0,O188-Plan!$E$25))</f>
        <v/>
      </c>
      <c r="R188" s="42">
        <f>U187</f>
        <v/>
      </c>
      <c r="S188" s="43">
        <f>IF(R188&gt;0,R188*Plan!$D$26/100/12,0)</f>
        <v/>
      </c>
      <c r="T188" s="42">
        <f>IF(R188&lt;=0,0,MIN(R188+S188,Plan!$E$26+Q188))</f>
        <v/>
      </c>
      <c r="U188" s="44">
        <f>MAX(0,R188+S188-T188)</f>
        <v/>
      </c>
      <c r="V188" s="45">
        <f>Q188-IF(R188&lt;=0,0,MAX(0,T188-Plan!$E$26))</f>
        <v/>
      </c>
      <c r="W188" s="42">
        <f>Z187</f>
        <v/>
      </c>
      <c r="X188" s="43">
        <f>IF(W188&gt;0,W188*Plan!$D$27/100/12,0)</f>
        <v/>
      </c>
      <c r="Y188" s="42">
        <f>IF(W188&lt;=0,0,MIN(W188+X188,Plan!$E$27+V188))</f>
        <v/>
      </c>
      <c r="Z188" s="44">
        <f>MAX(0,W188+X188-Y188)</f>
        <v/>
      </c>
      <c r="AA188" s="45">
        <f>V188-IF(W188&lt;=0,0,MAX(0,Y188-Plan!$E$27))</f>
        <v/>
      </c>
      <c r="AB188" s="42">
        <f>AE187</f>
        <v/>
      </c>
      <c r="AC188" s="43">
        <f>IF(AB188&gt;0,AB188*Plan!$D$28/100/12,0)</f>
        <v/>
      </c>
      <c r="AD188" s="42">
        <f>IF(AB188&lt;=0,0,MIN(AB188+AC188,Plan!$E$28+AA188))</f>
        <v/>
      </c>
      <c r="AE188" s="44">
        <f>MAX(0,AB188+AC188-AD188)</f>
        <v/>
      </c>
      <c r="AF188" s="45">
        <f>AA188-IF(AB188&lt;=0,0,MAX(0,AD188-Plan!$E$28))</f>
        <v/>
      </c>
      <c r="AG188" s="44">
        <f>F188+K188+P188+U188+Z188+AE188</f>
        <v/>
      </c>
    </row>
    <row r="189">
      <c r="A189" s="46" t="n">
        <v>182</v>
      </c>
      <c r="B189" s="47">
        <f>EDATE(Plan!$C$18,181)</f>
        <v/>
      </c>
      <c r="C189" s="48">
        <f>F188</f>
        <v/>
      </c>
      <c r="D189" s="49">
        <f>IF(C189&gt;0,C189*Plan!$D$23/100/12,0)</f>
        <v/>
      </c>
      <c r="E189" s="48">
        <f>IF(C189&lt;=0,0,MIN(C189+D189,Plan!$E$23+(Plan!$C$17+IF(C189&lt;=0,Plan!$E$23,MAX(0,Plan!$E$23-(C189+D189)))+IF(H189&lt;=0,Plan!$E$24,MAX(0,Plan!$E$24-(H189+I189)))+IF(M189&lt;=0,Plan!$E$25,MAX(0,Plan!$E$25-(M189+N189)))+IF(R189&lt;=0,Plan!$E$26,MAX(0,Plan!$E$26-(R189+S189)))+IF(W189&lt;=0,Plan!$E$27,MAX(0,Plan!$E$27-(W189+X189)))+IF(AB189&lt;=0,Plan!$E$28,MAX(0,Plan!$E$28-(AB189+AC189))))))</f>
        <v/>
      </c>
      <c r="F189" s="50">
        <f>MAX(0,C189+D189-E189)</f>
        <v/>
      </c>
      <c r="G189" s="51">
        <f>(Plan!$C$17+IF(C189&lt;=0,Plan!$E$23,MAX(0,Plan!$E$23-(C189+D189)))+IF(H189&lt;=0,Plan!$E$24,MAX(0,Plan!$E$24-(H189+I189)))+IF(M189&lt;=0,Plan!$E$25,MAX(0,Plan!$E$25-(M189+N189)))+IF(R189&lt;=0,Plan!$E$26,MAX(0,Plan!$E$26-(R189+S189)))+IF(W189&lt;=0,Plan!$E$27,MAX(0,Plan!$E$27-(W189+X189)))+IF(AB189&lt;=0,Plan!$E$28,MAX(0,Plan!$E$28-(AB189+AC189))))-IF(C189&lt;=0,0,MAX(0,E189-Plan!$E$23))</f>
        <v/>
      </c>
      <c r="H189" s="48">
        <f>K188</f>
        <v/>
      </c>
      <c r="I189" s="49">
        <f>IF(H189&gt;0,H189*Plan!$D$24/100/12,0)</f>
        <v/>
      </c>
      <c r="J189" s="48">
        <f>IF(H189&lt;=0,0,MIN(H189+I189,Plan!$E$24+G189))</f>
        <v/>
      </c>
      <c r="K189" s="50">
        <f>MAX(0,H189+I189-J189)</f>
        <v/>
      </c>
      <c r="L189" s="51">
        <f>G189-IF(H189&lt;=0,0,MAX(0,J189-Plan!$E$24))</f>
        <v/>
      </c>
      <c r="M189" s="48">
        <f>P188</f>
        <v/>
      </c>
      <c r="N189" s="49">
        <f>IF(M189&gt;0,M189*Plan!$D$25/100/12,0)</f>
        <v/>
      </c>
      <c r="O189" s="48">
        <f>IF(M189&lt;=0,0,MIN(M189+N189,Plan!$E$25+L189))</f>
        <v/>
      </c>
      <c r="P189" s="50">
        <f>MAX(0,M189+N189-O189)</f>
        <v/>
      </c>
      <c r="Q189" s="51">
        <f>L189-IF(M189&lt;=0,0,MAX(0,O189-Plan!$E$25))</f>
        <v/>
      </c>
      <c r="R189" s="48">
        <f>U188</f>
        <v/>
      </c>
      <c r="S189" s="49">
        <f>IF(R189&gt;0,R189*Plan!$D$26/100/12,0)</f>
        <v/>
      </c>
      <c r="T189" s="48">
        <f>IF(R189&lt;=0,0,MIN(R189+S189,Plan!$E$26+Q189))</f>
        <v/>
      </c>
      <c r="U189" s="50">
        <f>MAX(0,R189+S189-T189)</f>
        <v/>
      </c>
      <c r="V189" s="51">
        <f>Q189-IF(R189&lt;=0,0,MAX(0,T189-Plan!$E$26))</f>
        <v/>
      </c>
      <c r="W189" s="48">
        <f>Z188</f>
        <v/>
      </c>
      <c r="X189" s="49">
        <f>IF(W189&gt;0,W189*Plan!$D$27/100/12,0)</f>
        <v/>
      </c>
      <c r="Y189" s="48">
        <f>IF(W189&lt;=0,0,MIN(W189+X189,Plan!$E$27+V189))</f>
        <v/>
      </c>
      <c r="Z189" s="50">
        <f>MAX(0,W189+X189-Y189)</f>
        <v/>
      </c>
      <c r="AA189" s="51">
        <f>V189-IF(W189&lt;=0,0,MAX(0,Y189-Plan!$E$27))</f>
        <v/>
      </c>
      <c r="AB189" s="48">
        <f>AE188</f>
        <v/>
      </c>
      <c r="AC189" s="49">
        <f>IF(AB189&gt;0,AB189*Plan!$D$28/100/12,0)</f>
        <v/>
      </c>
      <c r="AD189" s="48">
        <f>IF(AB189&lt;=0,0,MIN(AB189+AC189,Plan!$E$28+AA189))</f>
        <v/>
      </c>
      <c r="AE189" s="50">
        <f>MAX(0,AB189+AC189-AD189)</f>
        <v/>
      </c>
      <c r="AF189" s="51">
        <f>AA189-IF(AB189&lt;=0,0,MAX(0,AD189-Plan!$E$28))</f>
        <v/>
      </c>
      <c r="AG189" s="50">
        <f>F189+K189+P189+U189+Z189+AE189</f>
        <v/>
      </c>
    </row>
    <row r="190">
      <c r="A190" s="40" t="n">
        <v>183</v>
      </c>
      <c r="B190" s="41">
        <f>EDATE(Plan!$C$18,182)</f>
        <v/>
      </c>
      <c r="C190" s="42">
        <f>F189</f>
        <v/>
      </c>
      <c r="D190" s="43">
        <f>IF(C190&gt;0,C190*Plan!$D$23/100/12,0)</f>
        <v/>
      </c>
      <c r="E190" s="42">
        <f>IF(C190&lt;=0,0,MIN(C190+D190,Plan!$E$23+(Plan!$C$17+IF(C190&lt;=0,Plan!$E$23,MAX(0,Plan!$E$23-(C190+D190)))+IF(H190&lt;=0,Plan!$E$24,MAX(0,Plan!$E$24-(H190+I190)))+IF(M190&lt;=0,Plan!$E$25,MAX(0,Plan!$E$25-(M190+N190)))+IF(R190&lt;=0,Plan!$E$26,MAX(0,Plan!$E$26-(R190+S190)))+IF(W190&lt;=0,Plan!$E$27,MAX(0,Plan!$E$27-(W190+X190)))+IF(AB190&lt;=0,Plan!$E$28,MAX(0,Plan!$E$28-(AB190+AC190))))))</f>
        <v/>
      </c>
      <c r="F190" s="44">
        <f>MAX(0,C190+D190-E190)</f>
        <v/>
      </c>
      <c r="G190" s="45">
        <f>(Plan!$C$17+IF(C190&lt;=0,Plan!$E$23,MAX(0,Plan!$E$23-(C190+D190)))+IF(H190&lt;=0,Plan!$E$24,MAX(0,Plan!$E$24-(H190+I190)))+IF(M190&lt;=0,Plan!$E$25,MAX(0,Plan!$E$25-(M190+N190)))+IF(R190&lt;=0,Plan!$E$26,MAX(0,Plan!$E$26-(R190+S190)))+IF(W190&lt;=0,Plan!$E$27,MAX(0,Plan!$E$27-(W190+X190)))+IF(AB190&lt;=0,Plan!$E$28,MAX(0,Plan!$E$28-(AB190+AC190))))-IF(C190&lt;=0,0,MAX(0,E190-Plan!$E$23))</f>
        <v/>
      </c>
      <c r="H190" s="42">
        <f>K189</f>
        <v/>
      </c>
      <c r="I190" s="43">
        <f>IF(H190&gt;0,H190*Plan!$D$24/100/12,0)</f>
        <v/>
      </c>
      <c r="J190" s="42">
        <f>IF(H190&lt;=0,0,MIN(H190+I190,Plan!$E$24+G190))</f>
        <v/>
      </c>
      <c r="K190" s="44">
        <f>MAX(0,H190+I190-J190)</f>
        <v/>
      </c>
      <c r="L190" s="45">
        <f>G190-IF(H190&lt;=0,0,MAX(0,J190-Plan!$E$24))</f>
        <v/>
      </c>
      <c r="M190" s="42">
        <f>P189</f>
        <v/>
      </c>
      <c r="N190" s="43">
        <f>IF(M190&gt;0,M190*Plan!$D$25/100/12,0)</f>
        <v/>
      </c>
      <c r="O190" s="42">
        <f>IF(M190&lt;=0,0,MIN(M190+N190,Plan!$E$25+L190))</f>
        <v/>
      </c>
      <c r="P190" s="44">
        <f>MAX(0,M190+N190-O190)</f>
        <v/>
      </c>
      <c r="Q190" s="45">
        <f>L190-IF(M190&lt;=0,0,MAX(0,O190-Plan!$E$25))</f>
        <v/>
      </c>
      <c r="R190" s="42">
        <f>U189</f>
        <v/>
      </c>
      <c r="S190" s="43">
        <f>IF(R190&gt;0,R190*Plan!$D$26/100/12,0)</f>
        <v/>
      </c>
      <c r="T190" s="42">
        <f>IF(R190&lt;=0,0,MIN(R190+S190,Plan!$E$26+Q190))</f>
        <v/>
      </c>
      <c r="U190" s="44">
        <f>MAX(0,R190+S190-T190)</f>
        <v/>
      </c>
      <c r="V190" s="45">
        <f>Q190-IF(R190&lt;=0,0,MAX(0,T190-Plan!$E$26))</f>
        <v/>
      </c>
      <c r="W190" s="42">
        <f>Z189</f>
        <v/>
      </c>
      <c r="X190" s="43">
        <f>IF(W190&gt;0,W190*Plan!$D$27/100/12,0)</f>
        <v/>
      </c>
      <c r="Y190" s="42">
        <f>IF(W190&lt;=0,0,MIN(W190+X190,Plan!$E$27+V190))</f>
        <v/>
      </c>
      <c r="Z190" s="44">
        <f>MAX(0,W190+X190-Y190)</f>
        <v/>
      </c>
      <c r="AA190" s="45">
        <f>V190-IF(W190&lt;=0,0,MAX(0,Y190-Plan!$E$27))</f>
        <v/>
      </c>
      <c r="AB190" s="42">
        <f>AE189</f>
        <v/>
      </c>
      <c r="AC190" s="43">
        <f>IF(AB190&gt;0,AB190*Plan!$D$28/100/12,0)</f>
        <v/>
      </c>
      <c r="AD190" s="42">
        <f>IF(AB190&lt;=0,0,MIN(AB190+AC190,Plan!$E$28+AA190))</f>
        <v/>
      </c>
      <c r="AE190" s="44">
        <f>MAX(0,AB190+AC190-AD190)</f>
        <v/>
      </c>
      <c r="AF190" s="45">
        <f>AA190-IF(AB190&lt;=0,0,MAX(0,AD190-Plan!$E$28))</f>
        <v/>
      </c>
      <c r="AG190" s="44">
        <f>F190+K190+P190+U190+Z190+AE190</f>
        <v/>
      </c>
    </row>
    <row r="191">
      <c r="A191" s="46" t="n">
        <v>184</v>
      </c>
      <c r="B191" s="47">
        <f>EDATE(Plan!$C$18,183)</f>
        <v/>
      </c>
      <c r="C191" s="48">
        <f>F190</f>
        <v/>
      </c>
      <c r="D191" s="49">
        <f>IF(C191&gt;0,C191*Plan!$D$23/100/12,0)</f>
        <v/>
      </c>
      <c r="E191" s="48">
        <f>IF(C191&lt;=0,0,MIN(C191+D191,Plan!$E$23+(Plan!$C$17+IF(C191&lt;=0,Plan!$E$23,MAX(0,Plan!$E$23-(C191+D191)))+IF(H191&lt;=0,Plan!$E$24,MAX(0,Plan!$E$24-(H191+I191)))+IF(M191&lt;=0,Plan!$E$25,MAX(0,Plan!$E$25-(M191+N191)))+IF(R191&lt;=0,Plan!$E$26,MAX(0,Plan!$E$26-(R191+S191)))+IF(W191&lt;=0,Plan!$E$27,MAX(0,Plan!$E$27-(W191+X191)))+IF(AB191&lt;=0,Plan!$E$28,MAX(0,Plan!$E$28-(AB191+AC191))))))</f>
        <v/>
      </c>
      <c r="F191" s="50">
        <f>MAX(0,C191+D191-E191)</f>
        <v/>
      </c>
      <c r="G191" s="51">
        <f>(Plan!$C$17+IF(C191&lt;=0,Plan!$E$23,MAX(0,Plan!$E$23-(C191+D191)))+IF(H191&lt;=0,Plan!$E$24,MAX(0,Plan!$E$24-(H191+I191)))+IF(M191&lt;=0,Plan!$E$25,MAX(0,Plan!$E$25-(M191+N191)))+IF(R191&lt;=0,Plan!$E$26,MAX(0,Plan!$E$26-(R191+S191)))+IF(W191&lt;=0,Plan!$E$27,MAX(0,Plan!$E$27-(W191+X191)))+IF(AB191&lt;=0,Plan!$E$28,MAX(0,Plan!$E$28-(AB191+AC191))))-IF(C191&lt;=0,0,MAX(0,E191-Plan!$E$23))</f>
        <v/>
      </c>
      <c r="H191" s="48">
        <f>K190</f>
        <v/>
      </c>
      <c r="I191" s="49">
        <f>IF(H191&gt;0,H191*Plan!$D$24/100/12,0)</f>
        <v/>
      </c>
      <c r="J191" s="48">
        <f>IF(H191&lt;=0,0,MIN(H191+I191,Plan!$E$24+G191))</f>
        <v/>
      </c>
      <c r="K191" s="50">
        <f>MAX(0,H191+I191-J191)</f>
        <v/>
      </c>
      <c r="L191" s="51">
        <f>G191-IF(H191&lt;=0,0,MAX(0,J191-Plan!$E$24))</f>
        <v/>
      </c>
      <c r="M191" s="48">
        <f>P190</f>
        <v/>
      </c>
      <c r="N191" s="49">
        <f>IF(M191&gt;0,M191*Plan!$D$25/100/12,0)</f>
        <v/>
      </c>
      <c r="O191" s="48">
        <f>IF(M191&lt;=0,0,MIN(M191+N191,Plan!$E$25+L191))</f>
        <v/>
      </c>
      <c r="P191" s="50">
        <f>MAX(0,M191+N191-O191)</f>
        <v/>
      </c>
      <c r="Q191" s="51">
        <f>L191-IF(M191&lt;=0,0,MAX(0,O191-Plan!$E$25))</f>
        <v/>
      </c>
      <c r="R191" s="48">
        <f>U190</f>
        <v/>
      </c>
      <c r="S191" s="49">
        <f>IF(R191&gt;0,R191*Plan!$D$26/100/12,0)</f>
        <v/>
      </c>
      <c r="T191" s="48">
        <f>IF(R191&lt;=0,0,MIN(R191+S191,Plan!$E$26+Q191))</f>
        <v/>
      </c>
      <c r="U191" s="50">
        <f>MAX(0,R191+S191-T191)</f>
        <v/>
      </c>
      <c r="V191" s="51">
        <f>Q191-IF(R191&lt;=0,0,MAX(0,T191-Plan!$E$26))</f>
        <v/>
      </c>
      <c r="W191" s="48">
        <f>Z190</f>
        <v/>
      </c>
      <c r="X191" s="49">
        <f>IF(W191&gt;0,W191*Plan!$D$27/100/12,0)</f>
        <v/>
      </c>
      <c r="Y191" s="48">
        <f>IF(W191&lt;=0,0,MIN(W191+X191,Plan!$E$27+V191))</f>
        <v/>
      </c>
      <c r="Z191" s="50">
        <f>MAX(0,W191+X191-Y191)</f>
        <v/>
      </c>
      <c r="AA191" s="51">
        <f>V191-IF(W191&lt;=0,0,MAX(0,Y191-Plan!$E$27))</f>
        <v/>
      </c>
      <c r="AB191" s="48">
        <f>AE190</f>
        <v/>
      </c>
      <c r="AC191" s="49">
        <f>IF(AB191&gt;0,AB191*Plan!$D$28/100/12,0)</f>
        <v/>
      </c>
      <c r="AD191" s="48">
        <f>IF(AB191&lt;=0,0,MIN(AB191+AC191,Plan!$E$28+AA191))</f>
        <v/>
      </c>
      <c r="AE191" s="50">
        <f>MAX(0,AB191+AC191-AD191)</f>
        <v/>
      </c>
      <c r="AF191" s="51">
        <f>AA191-IF(AB191&lt;=0,0,MAX(0,AD191-Plan!$E$28))</f>
        <v/>
      </c>
      <c r="AG191" s="50">
        <f>F191+K191+P191+U191+Z191+AE191</f>
        <v/>
      </c>
    </row>
    <row r="192">
      <c r="A192" s="40" t="n">
        <v>185</v>
      </c>
      <c r="B192" s="41">
        <f>EDATE(Plan!$C$18,184)</f>
        <v/>
      </c>
      <c r="C192" s="42">
        <f>F191</f>
        <v/>
      </c>
      <c r="D192" s="43">
        <f>IF(C192&gt;0,C192*Plan!$D$23/100/12,0)</f>
        <v/>
      </c>
      <c r="E192" s="42">
        <f>IF(C192&lt;=0,0,MIN(C192+D192,Plan!$E$23+(Plan!$C$17+IF(C192&lt;=0,Plan!$E$23,MAX(0,Plan!$E$23-(C192+D192)))+IF(H192&lt;=0,Plan!$E$24,MAX(0,Plan!$E$24-(H192+I192)))+IF(M192&lt;=0,Plan!$E$25,MAX(0,Plan!$E$25-(M192+N192)))+IF(R192&lt;=0,Plan!$E$26,MAX(0,Plan!$E$26-(R192+S192)))+IF(W192&lt;=0,Plan!$E$27,MAX(0,Plan!$E$27-(W192+X192)))+IF(AB192&lt;=0,Plan!$E$28,MAX(0,Plan!$E$28-(AB192+AC192))))))</f>
        <v/>
      </c>
      <c r="F192" s="44">
        <f>MAX(0,C192+D192-E192)</f>
        <v/>
      </c>
      <c r="G192" s="45">
        <f>(Plan!$C$17+IF(C192&lt;=0,Plan!$E$23,MAX(0,Plan!$E$23-(C192+D192)))+IF(H192&lt;=0,Plan!$E$24,MAX(0,Plan!$E$24-(H192+I192)))+IF(M192&lt;=0,Plan!$E$25,MAX(0,Plan!$E$25-(M192+N192)))+IF(R192&lt;=0,Plan!$E$26,MAX(0,Plan!$E$26-(R192+S192)))+IF(W192&lt;=0,Plan!$E$27,MAX(0,Plan!$E$27-(W192+X192)))+IF(AB192&lt;=0,Plan!$E$28,MAX(0,Plan!$E$28-(AB192+AC192))))-IF(C192&lt;=0,0,MAX(0,E192-Plan!$E$23))</f>
        <v/>
      </c>
      <c r="H192" s="42">
        <f>K191</f>
        <v/>
      </c>
      <c r="I192" s="43">
        <f>IF(H192&gt;0,H192*Plan!$D$24/100/12,0)</f>
        <v/>
      </c>
      <c r="J192" s="42">
        <f>IF(H192&lt;=0,0,MIN(H192+I192,Plan!$E$24+G192))</f>
        <v/>
      </c>
      <c r="K192" s="44">
        <f>MAX(0,H192+I192-J192)</f>
        <v/>
      </c>
      <c r="L192" s="45">
        <f>G192-IF(H192&lt;=0,0,MAX(0,J192-Plan!$E$24))</f>
        <v/>
      </c>
      <c r="M192" s="42">
        <f>P191</f>
        <v/>
      </c>
      <c r="N192" s="43">
        <f>IF(M192&gt;0,M192*Plan!$D$25/100/12,0)</f>
        <v/>
      </c>
      <c r="O192" s="42">
        <f>IF(M192&lt;=0,0,MIN(M192+N192,Plan!$E$25+L192))</f>
        <v/>
      </c>
      <c r="P192" s="44">
        <f>MAX(0,M192+N192-O192)</f>
        <v/>
      </c>
      <c r="Q192" s="45">
        <f>L192-IF(M192&lt;=0,0,MAX(0,O192-Plan!$E$25))</f>
        <v/>
      </c>
      <c r="R192" s="42">
        <f>U191</f>
        <v/>
      </c>
      <c r="S192" s="43">
        <f>IF(R192&gt;0,R192*Plan!$D$26/100/12,0)</f>
        <v/>
      </c>
      <c r="T192" s="42">
        <f>IF(R192&lt;=0,0,MIN(R192+S192,Plan!$E$26+Q192))</f>
        <v/>
      </c>
      <c r="U192" s="44">
        <f>MAX(0,R192+S192-T192)</f>
        <v/>
      </c>
      <c r="V192" s="45">
        <f>Q192-IF(R192&lt;=0,0,MAX(0,T192-Plan!$E$26))</f>
        <v/>
      </c>
      <c r="W192" s="42">
        <f>Z191</f>
        <v/>
      </c>
      <c r="X192" s="43">
        <f>IF(W192&gt;0,W192*Plan!$D$27/100/12,0)</f>
        <v/>
      </c>
      <c r="Y192" s="42">
        <f>IF(W192&lt;=0,0,MIN(W192+X192,Plan!$E$27+V192))</f>
        <v/>
      </c>
      <c r="Z192" s="44">
        <f>MAX(0,W192+X192-Y192)</f>
        <v/>
      </c>
      <c r="AA192" s="45">
        <f>V192-IF(W192&lt;=0,0,MAX(0,Y192-Plan!$E$27))</f>
        <v/>
      </c>
      <c r="AB192" s="42">
        <f>AE191</f>
        <v/>
      </c>
      <c r="AC192" s="43">
        <f>IF(AB192&gt;0,AB192*Plan!$D$28/100/12,0)</f>
        <v/>
      </c>
      <c r="AD192" s="42">
        <f>IF(AB192&lt;=0,0,MIN(AB192+AC192,Plan!$E$28+AA192))</f>
        <v/>
      </c>
      <c r="AE192" s="44">
        <f>MAX(0,AB192+AC192-AD192)</f>
        <v/>
      </c>
      <c r="AF192" s="45">
        <f>AA192-IF(AB192&lt;=0,0,MAX(0,AD192-Plan!$E$28))</f>
        <v/>
      </c>
      <c r="AG192" s="44">
        <f>F192+K192+P192+U192+Z192+AE192</f>
        <v/>
      </c>
    </row>
    <row r="193">
      <c r="A193" s="46" t="n">
        <v>186</v>
      </c>
      <c r="B193" s="47">
        <f>EDATE(Plan!$C$18,185)</f>
        <v/>
      </c>
      <c r="C193" s="48">
        <f>F192</f>
        <v/>
      </c>
      <c r="D193" s="49">
        <f>IF(C193&gt;0,C193*Plan!$D$23/100/12,0)</f>
        <v/>
      </c>
      <c r="E193" s="48">
        <f>IF(C193&lt;=0,0,MIN(C193+D193,Plan!$E$23+(Plan!$C$17+IF(C193&lt;=0,Plan!$E$23,MAX(0,Plan!$E$23-(C193+D193)))+IF(H193&lt;=0,Plan!$E$24,MAX(0,Plan!$E$24-(H193+I193)))+IF(M193&lt;=0,Plan!$E$25,MAX(0,Plan!$E$25-(M193+N193)))+IF(R193&lt;=0,Plan!$E$26,MAX(0,Plan!$E$26-(R193+S193)))+IF(W193&lt;=0,Plan!$E$27,MAX(0,Plan!$E$27-(W193+X193)))+IF(AB193&lt;=0,Plan!$E$28,MAX(0,Plan!$E$28-(AB193+AC193))))))</f>
        <v/>
      </c>
      <c r="F193" s="50">
        <f>MAX(0,C193+D193-E193)</f>
        <v/>
      </c>
      <c r="G193" s="51">
        <f>(Plan!$C$17+IF(C193&lt;=0,Plan!$E$23,MAX(0,Plan!$E$23-(C193+D193)))+IF(H193&lt;=0,Plan!$E$24,MAX(0,Plan!$E$24-(H193+I193)))+IF(M193&lt;=0,Plan!$E$25,MAX(0,Plan!$E$25-(M193+N193)))+IF(R193&lt;=0,Plan!$E$26,MAX(0,Plan!$E$26-(R193+S193)))+IF(W193&lt;=0,Plan!$E$27,MAX(0,Plan!$E$27-(W193+X193)))+IF(AB193&lt;=0,Plan!$E$28,MAX(0,Plan!$E$28-(AB193+AC193))))-IF(C193&lt;=0,0,MAX(0,E193-Plan!$E$23))</f>
        <v/>
      </c>
      <c r="H193" s="48">
        <f>K192</f>
        <v/>
      </c>
      <c r="I193" s="49">
        <f>IF(H193&gt;0,H193*Plan!$D$24/100/12,0)</f>
        <v/>
      </c>
      <c r="J193" s="48">
        <f>IF(H193&lt;=0,0,MIN(H193+I193,Plan!$E$24+G193))</f>
        <v/>
      </c>
      <c r="K193" s="50">
        <f>MAX(0,H193+I193-J193)</f>
        <v/>
      </c>
      <c r="L193" s="51">
        <f>G193-IF(H193&lt;=0,0,MAX(0,J193-Plan!$E$24))</f>
        <v/>
      </c>
      <c r="M193" s="48">
        <f>P192</f>
        <v/>
      </c>
      <c r="N193" s="49">
        <f>IF(M193&gt;0,M193*Plan!$D$25/100/12,0)</f>
        <v/>
      </c>
      <c r="O193" s="48">
        <f>IF(M193&lt;=0,0,MIN(M193+N193,Plan!$E$25+L193))</f>
        <v/>
      </c>
      <c r="P193" s="50">
        <f>MAX(0,M193+N193-O193)</f>
        <v/>
      </c>
      <c r="Q193" s="51">
        <f>L193-IF(M193&lt;=0,0,MAX(0,O193-Plan!$E$25))</f>
        <v/>
      </c>
      <c r="R193" s="48">
        <f>U192</f>
        <v/>
      </c>
      <c r="S193" s="49">
        <f>IF(R193&gt;0,R193*Plan!$D$26/100/12,0)</f>
        <v/>
      </c>
      <c r="T193" s="48">
        <f>IF(R193&lt;=0,0,MIN(R193+S193,Plan!$E$26+Q193))</f>
        <v/>
      </c>
      <c r="U193" s="50">
        <f>MAX(0,R193+S193-T193)</f>
        <v/>
      </c>
      <c r="V193" s="51">
        <f>Q193-IF(R193&lt;=0,0,MAX(0,T193-Plan!$E$26))</f>
        <v/>
      </c>
      <c r="W193" s="48">
        <f>Z192</f>
        <v/>
      </c>
      <c r="X193" s="49">
        <f>IF(W193&gt;0,W193*Plan!$D$27/100/12,0)</f>
        <v/>
      </c>
      <c r="Y193" s="48">
        <f>IF(W193&lt;=0,0,MIN(W193+X193,Plan!$E$27+V193))</f>
        <v/>
      </c>
      <c r="Z193" s="50">
        <f>MAX(0,W193+X193-Y193)</f>
        <v/>
      </c>
      <c r="AA193" s="51">
        <f>V193-IF(W193&lt;=0,0,MAX(0,Y193-Plan!$E$27))</f>
        <v/>
      </c>
      <c r="AB193" s="48">
        <f>AE192</f>
        <v/>
      </c>
      <c r="AC193" s="49">
        <f>IF(AB193&gt;0,AB193*Plan!$D$28/100/12,0)</f>
        <v/>
      </c>
      <c r="AD193" s="48">
        <f>IF(AB193&lt;=0,0,MIN(AB193+AC193,Plan!$E$28+AA193))</f>
        <v/>
      </c>
      <c r="AE193" s="50">
        <f>MAX(0,AB193+AC193-AD193)</f>
        <v/>
      </c>
      <c r="AF193" s="51">
        <f>AA193-IF(AB193&lt;=0,0,MAX(0,AD193-Plan!$E$28))</f>
        <v/>
      </c>
      <c r="AG193" s="50">
        <f>F193+K193+P193+U193+Z193+AE193</f>
        <v/>
      </c>
    </row>
    <row r="194">
      <c r="A194" s="40" t="n">
        <v>187</v>
      </c>
      <c r="B194" s="41">
        <f>EDATE(Plan!$C$18,186)</f>
        <v/>
      </c>
      <c r="C194" s="42">
        <f>F193</f>
        <v/>
      </c>
      <c r="D194" s="43">
        <f>IF(C194&gt;0,C194*Plan!$D$23/100/12,0)</f>
        <v/>
      </c>
      <c r="E194" s="42">
        <f>IF(C194&lt;=0,0,MIN(C194+D194,Plan!$E$23+(Plan!$C$17+IF(C194&lt;=0,Plan!$E$23,MAX(0,Plan!$E$23-(C194+D194)))+IF(H194&lt;=0,Plan!$E$24,MAX(0,Plan!$E$24-(H194+I194)))+IF(M194&lt;=0,Plan!$E$25,MAX(0,Plan!$E$25-(M194+N194)))+IF(R194&lt;=0,Plan!$E$26,MAX(0,Plan!$E$26-(R194+S194)))+IF(W194&lt;=0,Plan!$E$27,MAX(0,Plan!$E$27-(W194+X194)))+IF(AB194&lt;=0,Plan!$E$28,MAX(0,Plan!$E$28-(AB194+AC194))))))</f>
        <v/>
      </c>
      <c r="F194" s="44">
        <f>MAX(0,C194+D194-E194)</f>
        <v/>
      </c>
      <c r="G194" s="45">
        <f>(Plan!$C$17+IF(C194&lt;=0,Plan!$E$23,MAX(0,Plan!$E$23-(C194+D194)))+IF(H194&lt;=0,Plan!$E$24,MAX(0,Plan!$E$24-(H194+I194)))+IF(M194&lt;=0,Plan!$E$25,MAX(0,Plan!$E$25-(M194+N194)))+IF(R194&lt;=0,Plan!$E$26,MAX(0,Plan!$E$26-(R194+S194)))+IF(W194&lt;=0,Plan!$E$27,MAX(0,Plan!$E$27-(W194+X194)))+IF(AB194&lt;=0,Plan!$E$28,MAX(0,Plan!$E$28-(AB194+AC194))))-IF(C194&lt;=0,0,MAX(0,E194-Plan!$E$23))</f>
        <v/>
      </c>
      <c r="H194" s="42">
        <f>K193</f>
        <v/>
      </c>
      <c r="I194" s="43">
        <f>IF(H194&gt;0,H194*Plan!$D$24/100/12,0)</f>
        <v/>
      </c>
      <c r="J194" s="42">
        <f>IF(H194&lt;=0,0,MIN(H194+I194,Plan!$E$24+G194))</f>
        <v/>
      </c>
      <c r="K194" s="44">
        <f>MAX(0,H194+I194-J194)</f>
        <v/>
      </c>
      <c r="L194" s="45">
        <f>G194-IF(H194&lt;=0,0,MAX(0,J194-Plan!$E$24))</f>
        <v/>
      </c>
      <c r="M194" s="42">
        <f>P193</f>
        <v/>
      </c>
      <c r="N194" s="43">
        <f>IF(M194&gt;0,M194*Plan!$D$25/100/12,0)</f>
        <v/>
      </c>
      <c r="O194" s="42">
        <f>IF(M194&lt;=0,0,MIN(M194+N194,Plan!$E$25+L194))</f>
        <v/>
      </c>
      <c r="P194" s="44">
        <f>MAX(0,M194+N194-O194)</f>
        <v/>
      </c>
      <c r="Q194" s="45">
        <f>L194-IF(M194&lt;=0,0,MAX(0,O194-Plan!$E$25))</f>
        <v/>
      </c>
      <c r="R194" s="42">
        <f>U193</f>
        <v/>
      </c>
      <c r="S194" s="43">
        <f>IF(R194&gt;0,R194*Plan!$D$26/100/12,0)</f>
        <v/>
      </c>
      <c r="T194" s="42">
        <f>IF(R194&lt;=0,0,MIN(R194+S194,Plan!$E$26+Q194))</f>
        <v/>
      </c>
      <c r="U194" s="44">
        <f>MAX(0,R194+S194-T194)</f>
        <v/>
      </c>
      <c r="V194" s="45">
        <f>Q194-IF(R194&lt;=0,0,MAX(0,T194-Plan!$E$26))</f>
        <v/>
      </c>
      <c r="W194" s="42">
        <f>Z193</f>
        <v/>
      </c>
      <c r="X194" s="43">
        <f>IF(W194&gt;0,W194*Plan!$D$27/100/12,0)</f>
        <v/>
      </c>
      <c r="Y194" s="42">
        <f>IF(W194&lt;=0,0,MIN(W194+X194,Plan!$E$27+V194))</f>
        <v/>
      </c>
      <c r="Z194" s="44">
        <f>MAX(0,W194+X194-Y194)</f>
        <v/>
      </c>
      <c r="AA194" s="45">
        <f>V194-IF(W194&lt;=0,0,MAX(0,Y194-Plan!$E$27))</f>
        <v/>
      </c>
      <c r="AB194" s="42">
        <f>AE193</f>
        <v/>
      </c>
      <c r="AC194" s="43">
        <f>IF(AB194&gt;0,AB194*Plan!$D$28/100/12,0)</f>
        <v/>
      </c>
      <c r="AD194" s="42">
        <f>IF(AB194&lt;=0,0,MIN(AB194+AC194,Plan!$E$28+AA194))</f>
        <v/>
      </c>
      <c r="AE194" s="44">
        <f>MAX(0,AB194+AC194-AD194)</f>
        <v/>
      </c>
      <c r="AF194" s="45">
        <f>AA194-IF(AB194&lt;=0,0,MAX(0,AD194-Plan!$E$28))</f>
        <v/>
      </c>
      <c r="AG194" s="44">
        <f>F194+K194+P194+U194+Z194+AE194</f>
        <v/>
      </c>
    </row>
    <row r="195">
      <c r="A195" s="46" t="n">
        <v>188</v>
      </c>
      <c r="B195" s="47">
        <f>EDATE(Plan!$C$18,187)</f>
        <v/>
      </c>
      <c r="C195" s="48">
        <f>F194</f>
        <v/>
      </c>
      <c r="D195" s="49">
        <f>IF(C195&gt;0,C195*Plan!$D$23/100/12,0)</f>
        <v/>
      </c>
      <c r="E195" s="48">
        <f>IF(C195&lt;=0,0,MIN(C195+D195,Plan!$E$23+(Plan!$C$17+IF(C195&lt;=0,Plan!$E$23,MAX(0,Plan!$E$23-(C195+D195)))+IF(H195&lt;=0,Plan!$E$24,MAX(0,Plan!$E$24-(H195+I195)))+IF(M195&lt;=0,Plan!$E$25,MAX(0,Plan!$E$25-(M195+N195)))+IF(R195&lt;=0,Plan!$E$26,MAX(0,Plan!$E$26-(R195+S195)))+IF(W195&lt;=0,Plan!$E$27,MAX(0,Plan!$E$27-(W195+X195)))+IF(AB195&lt;=0,Plan!$E$28,MAX(0,Plan!$E$28-(AB195+AC195))))))</f>
        <v/>
      </c>
      <c r="F195" s="50">
        <f>MAX(0,C195+D195-E195)</f>
        <v/>
      </c>
      <c r="G195" s="51">
        <f>(Plan!$C$17+IF(C195&lt;=0,Plan!$E$23,MAX(0,Plan!$E$23-(C195+D195)))+IF(H195&lt;=0,Plan!$E$24,MAX(0,Plan!$E$24-(H195+I195)))+IF(M195&lt;=0,Plan!$E$25,MAX(0,Plan!$E$25-(M195+N195)))+IF(R195&lt;=0,Plan!$E$26,MAX(0,Plan!$E$26-(R195+S195)))+IF(W195&lt;=0,Plan!$E$27,MAX(0,Plan!$E$27-(W195+X195)))+IF(AB195&lt;=0,Plan!$E$28,MAX(0,Plan!$E$28-(AB195+AC195))))-IF(C195&lt;=0,0,MAX(0,E195-Plan!$E$23))</f>
        <v/>
      </c>
      <c r="H195" s="48">
        <f>K194</f>
        <v/>
      </c>
      <c r="I195" s="49">
        <f>IF(H195&gt;0,H195*Plan!$D$24/100/12,0)</f>
        <v/>
      </c>
      <c r="J195" s="48">
        <f>IF(H195&lt;=0,0,MIN(H195+I195,Plan!$E$24+G195))</f>
        <v/>
      </c>
      <c r="K195" s="50">
        <f>MAX(0,H195+I195-J195)</f>
        <v/>
      </c>
      <c r="L195" s="51">
        <f>G195-IF(H195&lt;=0,0,MAX(0,J195-Plan!$E$24))</f>
        <v/>
      </c>
      <c r="M195" s="48">
        <f>P194</f>
        <v/>
      </c>
      <c r="N195" s="49">
        <f>IF(M195&gt;0,M195*Plan!$D$25/100/12,0)</f>
        <v/>
      </c>
      <c r="O195" s="48">
        <f>IF(M195&lt;=0,0,MIN(M195+N195,Plan!$E$25+L195))</f>
        <v/>
      </c>
      <c r="P195" s="50">
        <f>MAX(0,M195+N195-O195)</f>
        <v/>
      </c>
      <c r="Q195" s="51">
        <f>L195-IF(M195&lt;=0,0,MAX(0,O195-Plan!$E$25))</f>
        <v/>
      </c>
      <c r="R195" s="48">
        <f>U194</f>
        <v/>
      </c>
      <c r="S195" s="49">
        <f>IF(R195&gt;0,R195*Plan!$D$26/100/12,0)</f>
        <v/>
      </c>
      <c r="T195" s="48">
        <f>IF(R195&lt;=0,0,MIN(R195+S195,Plan!$E$26+Q195))</f>
        <v/>
      </c>
      <c r="U195" s="50">
        <f>MAX(0,R195+S195-T195)</f>
        <v/>
      </c>
      <c r="V195" s="51">
        <f>Q195-IF(R195&lt;=0,0,MAX(0,T195-Plan!$E$26))</f>
        <v/>
      </c>
      <c r="W195" s="48">
        <f>Z194</f>
        <v/>
      </c>
      <c r="X195" s="49">
        <f>IF(W195&gt;0,W195*Plan!$D$27/100/12,0)</f>
        <v/>
      </c>
      <c r="Y195" s="48">
        <f>IF(W195&lt;=0,0,MIN(W195+X195,Plan!$E$27+V195))</f>
        <v/>
      </c>
      <c r="Z195" s="50">
        <f>MAX(0,W195+X195-Y195)</f>
        <v/>
      </c>
      <c r="AA195" s="51">
        <f>V195-IF(W195&lt;=0,0,MAX(0,Y195-Plan!$E$27))</f>
        <v/>
      </c>
      <c r="AB195" s="48">
        <f>AE194</f>
        <v/>
      </c>
      <c r="AC195" s="49">
        <f>IF(AB195&gt;0,AB195*Plan!$D$28/100/12,0)</f>
        <v/>
      </c>
      <c r="AD195" s="48">
        <f>IF(AB195&lt;=0,0,MIN(AB195+AC195,Plan!$E$28+AA195))</f>
        <v/>
      </c>
      <c r="AE195" s="50">
        <f>MAX(0,AB195+AC195-AD195)</f>
        <v/>
      </c>
      <c r="AF195" s="51">
        <f>AA195-IF(AB195&lt;=0,0,MAX(0,AD195-Plan!$E$28))</f>
        <v/>
      </c>
      <c r="AG195" s="50">
        <f>F195+K195+P195+U195+Z195+AE195</f>
        <v/>
      </c>
    </row>
    <row r="196">
      <c r="A196" s="40" t="n">
        <v>189</v>
      </c>
      <c r="B196" s="41">
        <f>EDATE(Plan!$C$18,188)</f>
        <v/>
      </c>
      <c r="C196" s="42">
        <f>F195</f>
        <v/>
      </c>
      <c r="D196" s="43">
        <f>IF(C196&gt;0,C196*Plan!$D$23/100/12,0)</f>
        <v/>
      </c>
      <c r="E196" s="42">
        <f>IF(C196&lt;=0,0,MIN(C196+D196,Plan!$E$23+(Plan!$C$17+IF(C196&lt;=0,Plan!$E$23,MAX(0,Plan!$E$23-(C196+D196)))+IF(H196&lt;=0,Plan!$E$24,MAX(0,Plan!$E$24-(H196+I196)))+IF(M196&lt;=0,Plan!$E$25,MAX(0,Plan!$E$25-(M196+N196)))+IF(R196&lt;=0,Plan!$E$26,MAX(0,Plan!$E$26-(R196+S196)))+IF(W196&lt;=0,Plan!$E$27,MAX(0,Plan!$E$27-(W196+X196)))+IF(AB196&lt;=0,Plan!$E$28,MAX(0,Plan!$E$28-(AB196+AC196))))))</f>
        <v/>
      </c>
      <c r="F196" s="44">
        <f>MAX(0,C196+D196-E196)</f>
        <v/>
      </c>
      <c r="G196" s="45">
        <f>(Plan!$C$17+IF(C196&lt;=0,Plan!$E$23,MAX(0,Plan!$E$23-(C196+D196)))+IF(H196&lt;=0,Plan!$E$24,MAX(0,Plan!$E$24-(H196+I196)))+IF(M196&lt;=0,Plan!$E$25,MAX(0,Plan!$E$25-(M196+N196)))+IF(R196&lt;=0,Plan!$E$26,MAX(0,Plan!$E$26-(R196+S196)))+IF(W196&lt;=0,Plan!$E$27,MAX(0,Plan!$E$27-(W196+X196)))+IF(AB196&lt;=0,Plan!$E$28,MAX(0,Plan!$E$28-(AB196+AC196))))-IF(C196&lt;=0,0,MAX(0,E196-Plan!$E$23))</f>
        <v/>
      </c>
      <c r="H196" s="42">
        <f>K195</f>
        <v/>
      </c>
      <c r="I196" s="43">
        <f>IF(H196&gt;0,H196*Plan!$D$24/100/12,0)</f>
        <v/>
      </c>
      <c r="J196" s="42">
        <f>IF(H196&lt;=0,0,MIN(H196+I196,Plan!$E$24+G196))</f>
        <v/>
      </c>
      <c r="K196" s="44">
        <f>MAX(0,H196+I196-J196)</f>
        <v/>
      </c>
      <c r="L196" s="45">
        <f>G196-IF(H196&lt;=0,0,MAX(0,J196-Plan!$E$24))</f>
        <v/>
      </c>
      <c r="M196" s="42">
        <f>P195</f>
        <v/>
      </c>
      <c r="N196" s="43">
        <f>IF(M196&gt;0,M196*Plan!$D$25/100/12,0)</f>
        <v/>
      </c>
      <c r="O196" s="42">
        <f>IF(M196&lt;=0,0,MIN(M196+N196,Plan!$E$25+L196))</f>
        <v/>
      </c>
      <c r="P196" s="44">
        <f>MAX(0,M196+N196-O196)</f>
        <v/>
      </c>
      <c r="Q196" s="45">
        <f>L196-IF(M196&lt;=0,0,MAX(0,O196-Plan!$E$25))</f>
        <v/>
      </c>
      <c r="R196" s="42">
        <f>U195</f>
        <v/>
      </c>
      <c r="S196" s="43">
        <f>IF(R196&gt;0,R196*Plan!$D$26/100/12,0)</f>
        <v/>
      </c>
      <c r="T196" s="42">
        <f>IF(R196&lt;=0,0,MIN(R196+S196,Plan!$E$26+Q196))</f>
        <v/>
      </c>
      <c r="U196" s="44">
        <f>MAX(0,R196+S196-T196)</f>
        <v/>
      </c>
      <c r="V196" s="45">
        <f>Q196-IF(R196&lt;=0,0,MAX(0,T196-Plan!$E$26))</f>
        <v/>
      </c>
      <c r="W196" s="42">
        <f>Z195</f>
        <v/>
      </c>
      <c r="X196" s="43">
        <f>IF(W196&gt;0,W196*Plan!$D$27/100/12,0)</f>
        <v/>
      </c>
      <c r="Y196" s="42">
        <f>IF(W196&lt;=0,0,MIN(W196+X196,Plan!$E$27+V196))</f>
        <v/>
      </c>
      <c r="Z196" s="44">
        <f>MAX(0,W196+X196-Y196)</f>
        <v/>
      </c>
      <c r="AA196" s="45">
        <f>V196-IF(W196&lt;=0,0,MAX(0,Y196-Plan!$E$27))</f>
        <v/>
      </c>
      <c r="AB196" s="42">
        <f>AE195</f>
        <v/>
      </c>
      <c r="AC196" s="43">
        <f>IF(AB196&gt;0,AB196*Plan!$D$28/100/12,0)</f>
        <v/>
      </c>
      <c r="AD196" s="42">
        <f>IF(AB196&lt;=0,0,MIN(AB196+AC196,Plan!$E$28+AA196))</f>
        <v/>
      </c>
      <c r="AE196" s="44">
        <f>MAX(0,AB196+AC196-AD196)</f>
        <v/>
      </c>
      <c r="AF196" s="45">
        <f>AA196-IF(AB196&lt;=0,0,MAX(0,AD196-Plan!$E$28))</f>
        <v/>
      </c>
      <c r="AG196" s="44">
        <f>F196+K196+P196+U196+Z196+AE196</f>
        <v/>
      </c>
    </row>
    <row r="197">
      <c r="A197" s="46" t="n">
        <v>190</v>
      </c>
      <c r="B197" s="47">
        <f>EDATE(Plan!$C$18,189)</f>
        <v/>
      </c>
      <c r="C197" s="48">
        <f>F196</f>
        <v/>
      </c>
      <c r="D197" s="49">
        <f>IF(C197&gt;0,C197*Plan!$D$23/100/12,0)</f>
        <v/>
      </c>
      <c r="E197" s="48">
        <f>IF(C197&lt;=0,0,MIN(C197+D197,Plan!$E$23+(Plan!$C$17+IF(C197&lt;=0,Plan!$E$23,MAX(0,Plan!$E$23-(C197+D197)))+IF(H197&lt;=0,Plan!$E$24,MAX(0,Plan!$E$24-(H197+I197)))+IF(M197&lt;=0,Plan!$E$25,MAX(0,Plan!$E$25-(M197+N197)))+IF(R197&lt;=0,Plan!$E$26,MAX(0,Plan!$E$26-(R197+S197)))+IF(W197&lt;=0,Plan!$E$27,MAX(0,Plan!$E$27-(W197+X197)))+IF(AB197&lt;=0,Plan!$E$28,MAX(0,Plan!$E$28-(AB197+AC197))))))</f>
        <v/>
      </c>
      <c r="F197" s="50">
        <f>MAX(0,C197+D197-E197)</f>
        <v/>
      </c>
      <c r="G197" s="51">
        <f>(Plan!$C$17+IF(C197&lt;=0,Plan!$E$23,MAX(0,Plan!$E$23-(C197+D197)))+IF(H197&lt;=0,Plan!$E$24,MAX(0,Plan!$E$24-(H197+I197)))+IF(M197&lt;=0,Plan!$E$25,MAX(0,Plan!$E$25-(M197+N197)))+IF(R197&lt;=0,Plan!$E$26,MAX(0,Plan!$E$26-(R197+S197)))+IF(W197&lt;=0,Plan!$E$27,MAX(0,Plan!$E$27-(W197+X197)))+IF(AB197&lt;=0,Plan!$E$28,MAX(0,Plan!$E$28-(AB197+AC197))))-IF(C197&lt;=0,0,MAX(0,E197-Plan!$E$23))</f>
        <v/>
      </c>
      <c r="H197" s="48">
        <f>K196</f>
        <v/>
      </c>
      <c r="I197" s="49">
        <f>IF(H197&gt;0,H197*Plan!$D$24/100/12,0)</f>
        <v/>
      </c>
      <c r="J197" s="48">
        <f>IF(H197&lt;=0,0,MIN(H197+I197,Plan!$E$24+G197))</f>
        <v/>
      </c>
      <c r="K197" s="50">
        <f>MAX(0,H197+I197-J197)</f>
        <v/>
      </c>
      <c r="L197" s="51">
        <f>G197-IF(H197&lt;=0,0,MAX(0,J197-Plan!$E$24))</f>
        <v/>
      </c>
      <c r="M197" s="48">
        <f>P196</f>
        <v/>
      </c>
      <c r="N197" s="49">
        <f>IF(M197&gt;0,M197*Plan!$D$25/100/12,0)</f>
        <v/>
      </c>
      <c r="O197" s="48">
        <f>IF(M197&lt;=0,0,MIN(M197+N197,Plan!$E$25+L197))</f>
        <v/>
      </c>
      <c r="P197" s="50">
        <f>MAX(0,M197+N197-O197)</f>
        <v/>
      </c>
      <c r="Q197" s="51">
        <f>L197-IF(M197&lt;=0,0,MAX(0,O197-Plan!$E$25))</f>
        <v/>
      </c>
      <c r="R197" s="48">
        <f>U196</f>
        <v/>
      </c>
      <c r="S197" s="49">
        <f>IF(R197&gt;0,R197*Plan!$D$26/100/12,0)</f>
        <v/>
      </c>
      <c r="T197" s="48">
        <f>IF(R197&lt;=0,0,MIN(R197+S197,Plan!$E$26+Q197))</f>
        <v/>
      </c>
      <c r="U197" s="50">
        <f>MAX(0,R197+S197-T197)</f>
        <v/>
      </c>
      <c r="V197" s="51">
        <f>Q197-IF(R197&lt;=0,0,MAX(0,T197-Plan!$E$26))</f>
        <v/>
      </c>
      <c r="W197" s="48">
        <f>Z196</f>
        <v/>
      </c>
      <c r="X197" s="49">
        <f>IF(W197&gt;0,W197*Plan!$D$27/100/12,0)</f>
        <v/>
      </c>
      <c r="Y197" s="48">
        <f>IF(W197&lt;=0,0,MIN(W197+X197,Plan!$E$27+V197))</f>
        <v/>
      </c>
      <c r="Z197" s="50">
        <f>MAX(0,W197+X197-Y197)</f>
        <v/>
      </c>
      <c r="AA197" s="51">
        <f>V197-IF(W197&lt;=0,0,MAX(0,Y197-Plan!$E$27))</f>
        <v/>
      </c>
      <c r="AB197" s="48">
        <f>AE196</f>
        <v/>
      </c>
      <c r="AC197" s="49">
        <f>IF(AB197&gt;0,AB197*Plan!$D$28/100/12,0)</f>
        <v/>
      </c>
      <c r="AD197" s="48">
        <f>IF(AB197&lt;=0,0,MIN(AB197+AC197,Plan!$E$28+AA197))</f>
        <v/>
      </c>
      <c r="AE197" s="50">
        <f>MAX(0,AB197+AC197-AD197)</f>
        <v/>
      </c>
      <c r="AF197" s="51">
        <f>AA197-IF(AB197&lt;=0,0,MAX(0,AD197-Plan!$E$28))</f>
        <v/>
      </c>
      <c r="AG197" s="50">
        <f>F197+K197+P197+U197+Z197+AE197</f>
        <v/>
      </c>
    </row>
    <row r="198">
      <c r="A198" s="40" t="n">
        <v>191</v>
      </c>
      <c r="B198" s="41">
        <f>EDATE(Plan!$C$18,190)</f>
        <v/>
      </c>
      <c r="C198" s="42">
        <f>F197</f>
        <v/>
      </c>
      <c r="D198" s="43">
        <f>IF(C198&gt;0,C198*Plan!$D$23/100/12,0)</f>
        <v/>
      </c>
      <c r="E198" s="42">
        <f>IF(C198&lt;=0,0,MIN(C198+D198,Plan!$E$23+(Plan!$C$17+IF(C198&lt;=0,Plan!$E$23,MAX(0,Plan!$E$23-(C198+D198)))+IF(H198&lt;=0,Plan!$E$24,MAX(0,Plan!$E$24-(H198+I198)))+IF(M198&lt;=0,Plan!$E$25,MAX(0,Plan!$E$25-(M198+N198)))+IF(R198&lt;=0,Plan!$E$26,MAX(0,Plan!$E$26-(R198+S198)))+IF(W198&lt;=0,Plan!$E$27,MAX(0,Plan!$E$27-(W198+X198)))+IF(AB198&lt;=0,Plan!$E$28,MAX(0,Plan!$E$28-(AB198+AC198))))))</f>
        <v/>
      </c>
      <c r="F198" s="44">
        <f>MAX(0,C198+D198-E198)</f>
        <v/>
      </c>
      <c r="G198" s="45">
        <f>(Plan!$C$17+IF(C198&lt;=0,Plan!$E$23,MAX(0,Plan!$E$23-(C198+D198)))+IF(H198&lt;=0,Plan!$E$24,MAX(0,Plan!$E$24-(H198+I198)))+IF(M198&lt;=0,Plan!$E$25,MAX(0,Plan!$E$25-(M198+N198)))+IF(R198&lt;=0,Plan!$E$26,MAX(0,Plan!$E$26-(R198+S198)))+IF(W198&lt;=0,Plan!$E$27,MAX(0,Plan!$E$27-(W198+X198)))+IF(AB198&lt;=0,Plan!$E$28,MAX(0,Plan!$E$28-(AB198+AC198))))-IF(C198&lt;=0,0,MAX(0,E198-Plan!$E$23))</f>
        <v/>
      </c>
      <c r="H198" s="42">
        <f>K197</f>
        <v/>
      </c>
      <c r="I198" s="43">
        <f>IF(H198&gt;0,H198*Plan!$D$24/100/12,0)</f>
        <v/>
      </c>
      <c r="J198" s="42">
        <f>IF(H198&lt;=0,0,MIN(H198+I198,Plan!$E$24+G198))</f>
        <v/>
      </c>
      <c r="K198" s="44">
        <f>MAX(0,H198+I198-J198)</f>
        <v/>
      </c>
      <c r="L198" s="45">
        <f>G198-IF(H198&lt;=0,0,MAX(0,J198-Plan!$E$24))</f>
        <v/>
      </c>
      <c r="M198" s="42">
        <f>P197</f>
        <v/>
      </c>
      <c r="N198" s="43">
        <f>IF(M198&gt;0,M198*Plan!$D$25/100/12,0)</f>
        <v/>
      </c>
      <c r="O198" s="42">
        <f>IF(M198&lt;=0,0,MIN(M198+N198,Plan!$E$25+L198))</f>
        <v/>
      </c>
      <c r="P198" s="44">
        <f>MAX(0,M198+N198-O198)</f>
        <v/>
      </c>
      <c r="Q198" s="45">
        <f>L198-IF(M198&lt;=0,0,MAX(0,O198-Plan!$E$25))</f>
        <v/>
      </c>
      <c r="R198" s="42">
        <f>U197</f>
        <v/>
      </c>
      <c r="S198" s="43">
        <f>IF(R198&gt;0,R198*Plan!$D$26/100/12,0)</f>
        <v/>
      </c>
      <c r="T198" s="42">
        <f>IF(R198&lt;=0,0,MIN(R198+S198,Plan!$E$26+Q198))</f>
        <v/>
      </c>
      <c r="U198" s="44">
        <f>MAX(0,R198+S198-T198)</f>
        <v/>
      </c>
      <c r="V198" s="45">
        <f>Q198-IF(R198&lt;=0,0,MAX(0,T198-Plan!$E$26))</f>
        <v/>
      </c>
      <c r="W198" s="42">
        <f>Z197</f>
        <v/>
      </c>
      <c r="X198" s="43">
        <f>IF(W198&gt;0,W198*Plan!$D$27/100/12,0)</f>
        <v/>
      </c>
      <c r="Y198" s="42">
        <f>IF(W198&lt;=0,0,MIN(W198+X198,Plan!$E$27+V198))</f>
        <v/>
      </c>
      <c r="Z198" s="44">
        <f>MAX(0,W198+X198-Y198)</f>
        <v/>
      </c>
      <c r="AA198" s="45">
        <f>V198-IF(W198&lt;=0,0,MAX(0,Y198-Plan!$E$27))</f>
        <v/>
      </c>
      <c r="AB198" s="42">
        <f>AE197</f>
        <v/>
      </c>
      <c r="AC198" s="43">
        <f>IF(AB198&gt;0,AB198*Plan!$D$28/100/12,0)</f>
        <v/>
      </c>
      <c r="AD198" s="42">
        <f>IF(AB198&lt;=0,0,MIN(AB198+AC198,Plan!$E$28+AA198))</f>
        <v/>
      </c>
      <c r="AE198" s="44">
        <f>MAX(0,AB198+AC198-AD198)</f>
        <v/>
      </c>
      <c r="AF198" s="45">
        <f>AA198-IF(AB198&lt;=0,0,MAX(0,AD198-Plan!$E$28))</f>
        <v/>
      </c>
      <c r="AG198" s="44">
        <f>F198+K198+P198+U198+Z198+AE198</f>
        <v/>
      </c>
    </row>
    <row r="199">
      <c r="A199" s="46" t="n">
        <v>192</v>
      </c>
      <c r="B199" s="47">
        <f>EDATE(Plan!$C$18,191)</f>
        <v/>
      </c>
      <c r="C199" s="48">
        <f>F198</f>
        <v/>
      </c>
      <c r="D199" s="49">
        <f>IF(C199&gt;0,C199*Plan!$D$23/100/12,0)</f>
        <v/>
      </c>
      <c r="E199" s="48">
        <f>IF(C199&lt;=0,0,MIN(C199+D199,Plan!$E$23+(Plan!$C$17+IF(C199&lt;=0,Plan!$E$23,MAX(0,Plan!$E$23-(C199+D199)))+IF(H199&lt;=0,Plan!$E$24,MAX(0,Plan!$E$24-(H199+I199)))+IF(M199&lt;=0,Plan!$E$25,MAX(0,Plan!$E$25-(M199+N199)))+IF(R199&lt;=0,Plan!$E$26,MAX(0,Plan!$E$26-(R199+S199)))+IF(W199&lt;=0,Plan!$E$27,MAX(0,Plan!$E$27-(W199+X199)))+IF(AB199&lt;=0,Plan!$E$28,MAX(0,Plan!$E$28-(AB199+AC199))))))</f>
        <v/>
      </c>
      <c r="F199" s="50">
        <f>MAX(0,C199+D199-E199)</f>
        <v/>
      </c>
      <c r="G199" s="51">
        <f>(Plan!$C$17+IF(C199&lt;=0,Plan!$E$23,MAX(0,Plan!$E$23-(C199+D199)))+IF(H199&lt;=0,Plan!$E$24,MAX(0,Plan!$E$24-(H199+I199)))+IF(M199&lt;=0,Plan!$E$25,MAX(0,Plan!$E$25-(M199+N199)))+IF(R199&lt;=0,Plan!$E$26,MAX(0,Plan!$E$26-(R199+S199)))+IF(W199&lt;=0,Plan!$E$27,MAX(0,Plan!$E$27-(W199+X199)))+IF(AB199&lt;=0,Plan!$E$28,MAX(0,Plan!$E$28-(AB199+AC199))))-IF(C199&lt;=0,0,MAX(0,E199-Plan!$E$23))</f>
        <v/>
      </c>
      <c r="H199" s="48">
        <f>K198</f>
        <v/>
      </c>
      <c r="I199" s="49">
        <f>IF(H199&gt;0,H199*Plan!$D$24/100/12,0)</f>
        <v/>
      </c>
      <c r="J199" s="48">
        <f>IF(H199&lt;=0,0,MIN(H199+I199,Plan!$E$24+G199))</f>
        <v/>
      </c>
      <c r="K199" s="50">
        <f>MAX(0,H199+I199-J199)</f>
        <v/>
      </c>
      <c r="L199" s="51">
        <f>G199-IF(H199&lt;=0,0,MAX(0,J199-Plan!$E$24))</f>
        <v/>
      </c>
      <c r="M199" s="48">
        <f>P198</f>
        <v/>
      </c>
      <c r="N199" s="49">
        <f>IF(M199&gt;0,M199*Plan!$D$25/100/12,0)</f>
        <v/>
      </c>
      <c r="O199" s="48">
        <f>IF(M199&lt;=0,0,MIN(M199+N199,Plan!$E$25+L199))</f>
        <v/>
      </c>
      <c r="P199" s="50">
        <f>MAX(0,M199+N199-O199)</f>
        <v/>
      </c>
      <c r="Q199" s="51">
        <f>L199-IF(M199&lt;=0,0,MAX(0,O199-Plan!$E$25))</f>
        <v/>
      </c>
      <c r="R199" s="48">
        <f>U198</f>
        <v/>
      </c>
      <c r="S199" s="49">
        <f>IF(R199&gt;0,R199*Plan!$D$26/100/12,0)</f>
        <v/>
      </c>
      <c r="T199" s="48">
        <f>IF(R199&lt;=0,0,MIN(R199+S199,Plan!$E$26+Q199))</f>
        <v/>
      </c>
      <c r="U199" s="50">
        <f>MAX(0,R199+S199-T199)</f>
        <v/>
      </c>
      <c r="V199" s="51">
        <f>Q199-IF(R199&lt;=0,0,MAX(0,T199-Plan!$E$26))</f>
        <v/>
      </c>
      <c r="W199" s="48">
        <f>Z198</f>
        <v/>
      </c>
      <c r="X199" s="49">
        <f>IF(W199&gt;0,W199*Plan!$D$27/100/12,0)</f>
        <v/>
      </c>
      <c r="Y199" s="48">
        <f>IF(W199&lt;=0,0,MIN(W199+X199,Plan!$E$27+V199))</f>
        <v/>
      </c>
      <c r="Z199" s="50">
        <f>MAX(0,W199+X199-Y199)</f>
        <v/>
      </c>
      <c r="AA199" s="51">
        <f>V199-IF(W199&lt;=0,0,MAX(0,Y199-Plan!$E$27))</f>
        <v/>
      </c>
      <c r="AB199" s="48">
        <f>AE198</f>
        <v/>
      </c>
      <c r="AC199" s="49">
        <f>IF(AB199&gt;0,AB199*Plan!$D$28/100/12,0)</f>
        <v/>
      </c>
      <c r="AD199" s="48">
        <f>IF(AB199&lt;=0,0,MIN(AB199+AC199,Plan!$E$28+AA199))</f>
        <v/>
      </c>
      <c r="AE199" s="50">
        <f>MAX(0,AB199+AC199-AD199)</f>
        <v/>
      </c>
      <c r="AF199" s="51">
        <f>AA199-IF(AB199&lt;=0,0,MAX(0,AD199-Plan!$E$28))</f>
        <v/>
      </c>
      <c r="AG199" s="50">
        <f>F199+K199+P199+U199+Z199+AE199</f>
        <v/>
      </c>
    </row>
    <row r="200">
      <c r="A200" s="40" t="n">
        <v>193</v>
      </c>
      <c r="B200" s="41">
        <f>EDATE(Plan!$C$18,192)</f>
        <v/>
      </c>
      <c r="C200" s="42">
        <f>F199</f>
        <v/>
      </c>
      <c r="D200" s="43">
        <f>IF(C200&gt;0,C200*Plan!$D$23/100/12,0)</f>
        <v/>
      </c>
      <c r="E200" s="42">
        <f>IF(C200&lt;=0,0,MIN(C200+D200,Plan!$E$23+(Plan!$C$17+IF(C200&lt;=0,Plan!$E$23,MAX(0,Plan!$E$23-(C200+D200)))+IF(H200&lt;=0,Plan!$E$24,MAX(0,Plan!$E$24-(H200+I200)))+IF(M200&lt;=0,Plan!$E$25,MAX(0,Plan!$E$25-(M200+N200)))+IF(R200&lt;=0,Plan!$E$26,MAX(0,Plan!$E$26-(R200+S200)))+IF(W200&lt;=0,Plan!$E$27,MAX(0,Plan!$E$27-(W200+X200)))+IF(AB200&lt;=0,Plan!$E$28,MAX(0,Plan!$E$28-(AB200+AC200))))))</f>
        <v/>
      </c>
      <c r="F200" s="44">
        <f>MAX(0,C200+D200-E200)</f>
        <v/>
      </c>
      <c r="G200" s="45">
        <f>(Plan!$C$17+IF(C200&lt;=0,Plan!$E$23,MAX(0,Plan!$E$23-(C200+D200)))+IF(H200&lt;=0,Plan!$E$24,MAX(0,Plan!$E$24-(H200+I200)))+IF(M200&lt;=0,Plan!$E$25,MAX(0,Plan!$E$25-(M200+N200)))+IF(R200&lt;=0,Plan!$E$26,MAX(0,Plan!$E$26-(R200+S200)))+IF(W200&lt;=0,Plan!$E$27,MAX(0,Plan!$E$27-(W200+X200)))+IF(AB200&lt;=0,Plan!$E$28,MAX(0,Plan!$E$28-(AB200+AC200))))-IF(C200&lt;=0,0,MAX(0,E200-Plan!$E$23))</f>
        <v/>
      </c>
      <c r="H200" s="42">
        <f>K199</f>
        <v/>
      </c>
      <c r="I200" s="43">
        <f>IF(H200&gt;0,H200*Plan!$D$24/100/12,0)</f>
        <v/>
      </c>
      <c r="J200" s="42">
        <f>IF(H200&lt;=0,0,MIN(H200+I200,Plan!$E$24+G200))</f>
        <v/>
      </c>
      <c r="K200" s="44">
        <f>MAX(0,H200+I200-J200)</f>
        <v/>
      </c>
      <c r="L200" s="45">
        <f>G200-IF(H200&lt;=0,0,MAX(0,J200-Plan!$E$24))</f>
        <v/>
      </c>
      <c r="M200" s="42">
        <f>P199</f>
        <v/>
      </c>
      <c r="N200" s="43">
        <f>IF(M200&gt;0,M200*Plan!$D$25/100/12,0)</f>
        <v/>
      </c>
      <c r="O200" s="42">
        <f>IF(M200&lt;=0,0,MIN(M200+N200,Plan!$E$25+L200))</f>
        <v/>
      </c>
      <c r="P200" s="44">
        <f>MAX(0,M200+N200-O200)</f>
        <v/>
      </c>
      <c r="Q200" s="45">
        <f>L200-IF(M200&lt;=0,0,MAX(0,O200-Plan!$E$25))</f>
        <v/>
      </c>
      <c r="R200" s="42">
        <f>U199</f>
        <v/>
      </c>
      <c r="S200" s="43">
        <f>IF(R200&gt;0,R200*Plan!$D$26/100/12,0)</f>
        <v/>
      </c>
      <c r="T200" s="42">
        <f>IF(R200&lt;=0,0,MIN(R200+S200,Plan!$E$26+Q200))</f>
        <v/>
      </c>
      <c r="U200" s="44">
        <f>MAX(0,R200+S200-T200)</f>
        <v/>
      </c>
      <c r="V200" s="45">
        <f>Q200-IF(R200&lt;=0,0,MAX(0,T200-Plan!$E$26))</f>
        <v/>
      </c>
      <c r="W200" s="42">
        <f>Z199</f>
        <v/>
      </c>
      <c r="X200" s="43">
        <f>IF(W200&gt;0,W200*Plan!$D$27/100/12,0)</f>
        <v/>
      </c>
      <c r="Y200" s="42">
        <f>IF(W200&lt;=0,0,MIN(W200+X200,Plan!$E$27+V200))</f>
        <v/>
      </c>
      <c r="Z200" s="44">
        <f>MAX(0,W200+X200-Y200)</f>
        <v/>
      </c>
      <c r="AA200" s="45">
        <f>V200-IF(W200&lt;=0,0,MAX(0,Y200-Plan!$E$27))</f>
        <v/>
      </c>
      <c r="AB200" s="42">
        <f>AE199</f>
        <v/>
      </c>
      <c r="AC200" s="43">
        <f>IF(AB200&gt;0,AB200*Plan!$D$28/100/12,0)</f>
        <v/>
      </c>
      <c r="AD200" s="42">
        <f>IF(AB200&lt;=0,0,MIN(AB200+AC200,Plan!$E$28+AA200))</f>
        <v/>
      </c>
      <c r="AE200" s="44">
        <f>MAX(0,AB200+AC200-AD200)</f>
        <v/>
      </c>
      <c r="AF200" s="45">
        <f>AA200-IF(AB200&lt;=0,0,MAX(0,AD200-Plan!$E$28))</f>
        <v/>
      </c>
      <c r="AG200" s="44">
        <f>F200+K200+P200+U200+Z200+AE200</f>
        <v/>
      </c>
    </row>
    <row r="201">
      <c r="A201" s="46" t="n">
        <v>194</v>
      </c>
      <c r="B201" s="47">
        <f>EDATE(Plan!$C$18,193)</f>
        <v/>
      </c>
      <c r="C201" s="48">
        <f>F200</f>
        <v/>
      </c>
      <c r="D201" s="49">
        <f>IF(C201&gt;0,C201*Plan!$D$23/100/12,0)</f>
        <v/>
      </c>
      <c r="E201" s="48">
        <f>IF(C201&lt;=0,0,MIN(C201+D201,Plan!$E$23+(Plan!$C$17+IF(C201&lt;=0,Plan!$E$23,MAX(0,Plan!$E$23-(C201+D201)))+IF(H201&lt;=0,Plan!$E$24,MAX(0,Plan!$E$24-(H201+I201)))+IF(M201&lt;=0,Plan!$E$25,MAX(0,Plan!$E$25-(M201+N201)))+IF(R201&lt;=0,Plan!$E$26,MAX(0,Plan!$E$26-(R201+S201)))+IF(W201&lt;=0,Plan!$E$27,MAX(0,Plan!$E$27-(W201+X201)))+IF(AB201&lt;=0,Plan!$E$28,MAX(0,Plan!$E$28-(AB201+AC201))))))</f>
        <v/>
      </c>
      <c r="F201" s="50">
        <f>MAX(0,C201+D201-E201)</f>
        <v/>
      </c>
      <c r="G201" s="51">
        <f>(Plan!$C$17+IF(C201&lt;=0,Plan!$E$23,MAX(0,Plan!$E$23-(C201+D201)))+IF(H201&lt;=0,Plan!$E$24,MAX(0,Plan!$E$24-(H201+I201)))+IF(M201&lt;=0,Plan!$E$25,MAX(0,Plan!$E$25-(M201+N201)))+IF(R201&lt;=0,Plan!$E$26,MAX(0,Plan!$E$26-(R201+S201)))+IF(W201&lt;=0,Plan!$E$27,MAX(0,Plan!$E$27-(W201+X201)))+IF(AB201&lt;=0,Plan!$E$28,MAX(0,Plan!$E$28-(AB201+AC201))))-IF(C201&lt;=0,0,MAX(0,E201-Plan!$E$23))</f>
        <v/>
      </c>
      <c r="H201" s="48">
        <f>K200</f>
        <v/>
      </c>
      <c r="I201" s="49">
        <f>IF(H201&gt;0,H201*Plan!$D$24/100/12,0)</f>
        <v/>
      </c>
      <c r="J201" s="48">
        <f>IF(H201&lt;=0,0,MIN(H201+I201,Plan!$E$24+G201))</f>
        <v/>
      </c>
      <c r="K201" s="50">
        <f>MAX(0,H201+I201-J201)</f>
        <v/>
      </c>
      <c r="L201" s="51">
        <f>G201-IF(H201&lt;=0,0,MAX(0,J201-Plan!$E$24))</f>
        <v/>
      </c>
      <c r="M201" s="48">
        <f>P200</f>
        <v/>
      </c>
      <c r="N201" s="49">
        <f>IF(M201&gt;0,M201*Plan!$D$25/100/12,0)</f>
        <v/>
      </c>
      <c r="O201" s="48">
        <f>IF(M201&lt;=0,0,MIN(M201+N201,Plan!$E$25+L201))</f>
        <v/>
      </c>
      <c r="P201" s="50">
        <f>MAX(0,M201+N201-O201)</f>
        <v/>
      </c>
      <c r="Q201" s="51">
        <f>L201-IF(M201&lt;=0,0,MAX(0,O201-Plan!$E$25))</f>
        <v/>
      </c>
      <c r="R201" s="48">
        <f>U200</f>
        <v/>
      </c>
      <c r="S201" s="49">
        <f>IF(R201&gt;0,R201*Plan!$D$26/100/12,0)</f>
        <v/>
      </c>
      <c r="T201" s="48">
        <f>IF(R201&lt;=0,0,MIN(R201+S201,Plan!$E$26+Q201))</f>
        <v/>
      </c>
      <c r="U201" s="50">
        <f>MAX(0,R201+S201-T201)</f>
        <v/>
      </c>
      <c r="V201" s="51">
        <f>Q201-IF(R201&lt;=0,0,MAX(0,T201-Plan!$E$26))</f>
        <v/>
      </c>
      <c r="W201" s="48">
        <f>Z200</f>
        <v/>
      </c>
      <c r="X201" s="49">
        <f>IF(W201&gt;0,W201*Plan!$D$27/100/12,0)</f>
        <v/>
      </c>
      <c r="Y201" s="48">
        <f>IF(W201&lt;=0,0,MIN(W201+X201,Plan!$E$27+V201))</f>
        <v/>
      </c>
      <c r="Z201" s="50">
        <f>MAX(0,W201+X201-Y201)</f>
        <v/>
      </c>
      <c r="AA201" s="51">
        <f>V201-IF(W201&lt;=0,0,MAX(0,Y201-Plan!$E$27))</f>
        <v/>
      </c>
      <c r="AB201" s="48">
        <f>AE200</f>
        <v/>
      </c>
      <c r="AC201" s="49">
        <f>IF(AB201&gt;0,AB201*Plan!$D$28/100/12,0)</f>
        <v/>
      </c>
      <c r="AD201" s="48">
        <f>IF(AB201&lt;=0,0,MIN(AB201+AC201,Plan!$E$28+AA201))</f>
        <v/>
      </c>
      <c r="AE201" s="50">
        <f>MAX(0,AB201+AC201-AD201)</f>
        <v/>
      </c>
      <c r="AF201" s="51">
        <f>AA201-IF(AB201&lt;=0,0,MAX(0,AD201-Plan!$E$28))</f>
        <v/>
      </c>
      <c r="AG201" s="50">
        <f>F201+K201+P201+U201+Z201+AE201</f>
        <v/>
      </c>
    </row>
    <row r="202">
      <c r="A202" s="40" t="n">
        <v>195</v>
      </c>
      <c r="B202" s="41">
        <f>EDATE(Plan!$C$18,194)</f>
        <v/>
      </c>
      <c r="C202" s="42">
        <f>F201</f>
        <v/>
      </c>
      <c r="D202" s="43">
        <f>IF(C202&gt;0,C202*Plan!$D$23/100/12,0)</f>
        <v/>
      </c>
      <c r="E202" s="42">
        <f>IF(C202&lt;=0,0,MIN(C202+D202,Plan!$E$23+(Plan!$C$17+IF(C202&lt;=0,Plan!$E$23,MAX(0,Plan!$E$23-(C202+D202)))+IF(H202&lt;=0,Plan!$E$24,MAX(0,Plan!$E$24-(H202+I202)))+IF(M202&lt;=0,Plan!$E$25,MAX(0,Plan!$E$25-(M202+N202)))+IF(R202&lt;=0,Plan!$E$26,MAX(0,Plan!$E$26-(R202+S202)))+IF(W202&lt;=0,Plan!$E$27,MAX(0,Plan!$E$27-(W202+X202)))+IF(AB202&lt;=0,Plan!$E$28,MAX(0,Plan!$E$28-(AB202+AC202))))))</f>
        <v/>
      </c>
      <c r="F202" s="44">
        <f>MAX(0,C202+D202-E202)</f>
        <v/>
      </c>
      <c r="G202" s="45">
        <f>(Plan!$C$17+IF(C202&lt;=0,Plan!$E$23,MAX(0,Plan!$E$23-(C202+D202)))+IF(H202&lt;=0,Plan!$E$24,MAX(0,Plan!$E$24-(H202+I202)))+IF(M202&lt;=0,Plan!$E$25,MAX(0,Plan!$E$25-(M202+N202)))+IF(R202&lt;=0,Plan!$E$26,MAX(0,Plan!$E$26-(R202+S202)))+IF(W202&lt;=0,Plan!$E$27,MAX(0,Plan!$E$27-(W202+X202)))+IF(AB202&lt;=0,Plan!$E$28,MAX(0,Plan!$E$28-(AB202+AC202))))-IF(C202&lt;=0,0,MAX(0,E202-Plan!$E$23))</f>
        <v/>
      </c>
      <c r="H202" s="42">
        <f>K201</f>
        <v/>
      </c>
      <c r="I202" s="43">
        <f>IF(H202&gt;0,H202*Plan!$D$24/100/12,0)</f>
        <v/>
      </c>
      <c r="J202" s="42">
        <f>IF(H202&lt;=0,0,MIN(H202+I202,Plan!$E$24+G202))</f>
        <v/>
      </c>
      <c r="K202" s="44">
        <f>MAX(0,H202+I202-J202)</f>
        <v/>
      </c>
      <c r="L202" s="45">
        <f>G202-IF(H202&lt;=0,0,MAX(0,J202-Plan!$E$24))</f>
        <v/>
      </c>
      <c r="M202" s="42">
        <f>P201</f>
        <v/>
      </c>
      <c r="N202" s="43">
        <f>IF(M202&gt;0,M202*Plan!$D$25/100/12,0)</f>
        <v/>
      </c>
      <c r="O202" s="42">
        <f>IF(M202&lt;=0,0,MIN(M202+N202,Plan!$E$25+L202))</f>
        <v/>
      </c>
      <c r="P202" s="44">
        <f>MAX(0,M202+N202-O202)</f>
        <v/>
      </c>
      <c r="Q202" s="45">
        <f>L202-IF(M202&lt;=0,0,MAX(0,O202-Plan!$E$25))</f>
        <v/>
      </c>
      <c r="R202" s="42">
        <f>U201</f>
        <v/>
      </c>
      <c r="S202" s="43">
        <f>IF(R202&gt;0,R202*Plan!$D$26/100/12,0)</f>
        <v/>
      </c>
      <c r="T202" s="42">
        <f>IF(R202&lt;=0,0,MIN(R202+S202,Plan!$E$26+Q202))</f>
        <v/>
      </c>
      <c r="U202" s="44">
        <f>MAX(0,R202+S202-T202)</f>
        <v/>
      </c>
      <c r="V202" s="45">
        <f>Q202-IF(R202&lt;=0,0,MAX(0,T202-Plan!$E$26))</f>
        <v/>
      </c>
      <c r="W202" s="42">
        <f>Z201</f>
        <v/>
      </c>
      <c r="X202" s="43">
        <f>IF(W202&gt;0,W202*Plan!$D$27/100/12,0)</f>
        <v/>
      </c>
      <c r="Y202" s="42">
        <f>IF(W202&lt;=0,0,MIN(W202+X202,Plan!$E$27+V202))</f>
        <v/>
      </c>
      <c r="Z202" s="44">
        <f>MAX(0,W202+X202-Y202)</f>
        <v/>
      </c>
      <c r="AA202" s="45">
        <f>V202-IF(W202&lt;=0,0,MAX(0,Y202-Plan!$E$27))</f>
        <v/>
      </c>
      <c r="AB202" s="42">
        <f>AE201</f>
        <v/>
      </c>
      <c r="AC202" s="43">
        <f>IF(AB202&gt;0,AB202*Plan!$D$28/100/12,0)</f>
        <v/>
      </c>
      <c r="AD202" s="42">
        <f>IF(AB202&lt;=0,0,MIN(AB202+AC202,Plan!$E$28+AA202))</f>
        <v/>
      </c>
      <c r="AE202" s="44">
        <f>MAX(0,AB202+AC202-AD202)</f>
        <v/>
      </c>
      <c r="AF202" s="45">
        <f>AA202-IF(AB202&lt;=0,0,MAX(0,AD202-Plan!$E$28))</f>
        <v/>
      </c>
      <c r="AG202" s="44">
        <f>F202+K202+P202+U202+Z202+AE202</f>
        <v/>
      </c>
    </row>
    <row r="203">
      <c r="A203" s="46" t="n">
        <v>196</v>
      </c>
      <c r="B203" s="47">
        <f>EDATE(Plan!$C$18,195)</f>
        <v/>
      </c>
      <c r="C203" s="48">
        <f>F202</f>
        <v/>
      </c>
      <c r="D203" s="49">
        <f>IF(C203&gt;0,C203*Plan!$D$23/100/12,0)</f>
        <v/>
      </c>
      <c r="E203" s="48">
        <f>IF(C203&lt;=0,0,MIN(C203+D203,Plan!$E$23+(Plan!$C$17+IF(C203&lt;=0,Plan!$E$23,MAX(0,Plan!$E$23-(C203+D203)))+IF(H203&lt;=0,Plan!$E$24,MAX(0,Plan!$E$24-(H203+I203)))+IF(M203&lt;=0,Plan!$E$25,MAX(0,Plan!$E$25-(M203+N203)))+IF(R203&lt;=0,Plan!$E$26,MAX(0,Plan!$E$26-(R203+S203)))+IF(W203&lt;=0,Plan!$E$27,MAX(0,Plan!$E$27-(W203+X203)))+IF(AB203&lt;=0,Plan!$E$28,MAX(0,Plan!$E$28-(AB203+AC203))))))</f>
        <v/>
      </c>
      <c r="F203" s="50">
        <f>MAX(0,C203+D203-E203)</f>
        <v/>
      </c>
      <c r="G203" s="51">
        <f>(Plan!$C$17+IF(C203&lt;=0,Plan!$E$23,MAX(0,Plan!$E$23-(C203+D203)))+IF(H203&lt;=0,Plan!$E$24,MAX(0,Plan!$E$24-(H203+I203)))+IF(M203&lt;=0,Plan!$E$25,MAX(0,Plan!$E$25-(M203+N203)))+IF(R203&lt;=0,Plan!$E$26,MAX(0,Plan!$E$26-(R203+S203)))+IF(W203&lt;=0,Plan!$E$27,MAX(0,Plan!$E$27-(W203+X203)))+IF(AB203&lt;=0,Plan!$E$28,MAX(0,Plan!$E$28-(AB203+AC203))))-IF(C203&lt;=0,0,MAX(0,E203-Plan!$E$23))</f>
        <v/>
      </c>
      <c r="H203" s="48">
        <f>K202</f>
        <v/>
      </c>
      <c r="I203" s="49">
        <f>IF(H203&gt;0,H203*Plan!$D$24/100/12,0)</f>
        <v/>
      </c>
      <c r="J203" s="48">
        <f>IF(H203&lt;=0,0,MIN(H203+I203,Plan!$E$24+G203))</f>
        <v/>
      </c>
      <c r="K203" s="50">
        <f>MAX(0,H203+I203-J203)</f>
        <v/>
      </c>
      <c r="L203" s="51">
        <f>G203-IF(H203&lt;=0,0,MAX(0,J203-Plan!$E$24))</f>
        <v/>
      </c>
      <c r="M203" s="48">
        <f>P202</f>
        <v/>
      </c>
      <c r="N203" s="49">
        <f>IF(M203&gt;0,M203*Plan!$D$25/100/12,0)</f>
        <v/>
      </c>
      <c r="O203" s="48">
        <f>IF(M203&lt;=0,0,MIN(M203+N203,Plan!$E$25+L203))</f>
        <v/>
      </c>
      <c r="P203" s="50">
        <f>MAX(0,M203+N203-O203)</f>
        <v/>
      </c>
      <c r="Q203" s="51">
        <f>L203-IF(M203&lt;=0,0,MAX(0,O203-Plan!$E$25))</f>
        <v/>
      </c>
      <c r="R203" s="48">
        <f>U202</f>
        <v/>
      </c>
      <c r="S203" s="49">
        <f>IF(R203&gt;0,R203*Plan!$D$26/100/12,0)</f>
        <v/>
      </c>
      <c r="T203" s="48">
        <f>IF(R203&lt;=0,0,MIN(R203+S203,Plan!$E$26+Q203))</f>
        <v/>
      </c>
      <c r="U203" s="50">
        <f>MAX(0,R203+S203-T203)</f>
        <v/>
      </c>
      <c r="V203" s="51">
        <f>Q203-IF(R203&lt;=0,0,MAX(0,T203-Plan!$E$26))</f>
        <v/>
      </c>
      <c r="W203" s="48">
        <f>Z202</f>
        <v/>
      </c>
      <c r="X203" s="49">
        <f>IF(W203&gt;0,W203*Plan!$D$27/100/12,0)</f>
        <v/>
      </c>
      <c r="Y203" s="48">
        <f>IF(W203&lt;=0,0,MIN(W203+X203,Plan!$E$27+V203))</f>
        <v/>
      </c>
      <c r="Z203" s="50">
        <f>MAX(0,W203+X203-Y203)</f>
        <v/>
      </c>
      <c r="AA203" s="51">
        <f>V203-IF(W203&lt;=0,0,MAX(0,Y203-Plan!$E$27))</f>
        <v/>
      </c>
      <c r="AB203" s="48">
        <f>AE202</f>
        <v/>
      </c>
      <c r="AC203" s="49">
        <f>IF(AB203&gt;0,AB203*Plan!$D$28/100/12,0)</f>
        <v/>
      </c>
      <c r="AD203" s="48">
        <f>IF(AB203&lt;=0,0,MIN(AB203+AC203,Plan!$E$28+AA203))</f>
        <v/>
      </c>
      <c r="AE203" s="50">
        <f>MAX(0,AB203+AC203-AD203)</f>
        <v/>
      </c>
      <c r="AF203" s="51">
        <f>AA203-IF(AB203&lt;=0,0,MAX(0,AD203-Plan!$E$28))</f>
        <v/>
      </c>
      <c r="AG203" s="50">
        <f>F203+K203+P203+U203+Z203+AE203</f>
        <v/>
      </c>
    </row>
    <row r="204">
      <c r="A204" s="40" t="n">
        <v>197</v>
      </c>
      <c r="B204" s="41">
        <f>EDATE(Plan!$C$18,196)</f>
        <v/>
      </c>
      <c r="C204" s="42">
        <f>F203</f>
        <v/>
      </c>
      <c r="D204" s="43">
        <f>IF(C204&gt;0,C204*Plan!$D$23/100/12,0)</f>
        <v/>
      </c>
      <c r="E204" s="42">
        <f>IF(C204&lt;=0,0,MIN(C204+D204,Plan!$E$23+(Plan!$C$17+IF(C204&lt;=0,Plan!$E$23,MAX(0,Plan!$E$23-(C204+D204)))+IF(H204&lt;=0,Plan!$E$24,MAX(0,Plan!$E$24-(H204+I204)))+IF(M204&lt;=0,Plan!$E$25,MAX(0,Plan!$E$25-(M204+N204)))+IF(R204&lt;=0,Plan!$E$26,MAX(0,Plan!$E$26-(R204+S204)))+IF(W204&lt;=0,Plan!$E$27,MAX(0,Plan!$E$27-(W204+X204)))+IF(AB204&lt;=0,Plan!$E$28,MAX(0,Plan!$E$28-(AB204+AC204))))))</f>
        <v/>
      </c>
      <c r="F204" s="44">
        <f>MAX(0,C204+D204-E204)</f>
        <v/>
      </c>
      <c r="G204" s="45">
        <f>(Plan!$C$17+IF(C204&lt;=0,Plan!$E$23,MAX(0,Plan!$E$23-(C204+D204)))+IF(H204&lt;=0,Plan!$E$24,MAX(0,Plan!$E$24-(H204+I204)))+IF(M204&lt;=0,Plan!$E$25,MAX(0,Plan!$E$25-(M204+N204)))+IF(R204&lt;=0,Plan!$E$26,MAX(0,Plan!$E$26-(R204+S204)))+IF(W204&lt;=0,Plan!$E$27,MAX(0,Plan!$E$27-(W204+X204)))+IF(AB204&lt;=0,Plan!$E$28,MAX(0,Plan!$E$28-(AB204+AC204))))-IF(C204&lt;=0,0,MAX(0,E204-Plan!$E$23))</f>
        <v/>
      </c>
      <c r="H204" s="42">
        <f>K203</f>
        <v/>
      </c>
      <c r="I204" s="43">
        <f>IF(H204&gt;0,H204*Plan!$D$24/100/12,0)</f>
        <v/>
      </c>
      <c r="J204" s="42">
        <f>IF(H204&lt;=0,0,MIN(H204+I204,Plan!$E$24+G204))</f>
        <v/>
      </c>
      <c r="K204" s="44">
        <f>MAX(0,H204+I204-J204)</f>
        <v/>
      </c>
      <c r="L204" s="45">
        <f>G204-IF(H204&lt;=0,0,MAX(0,J204-Plan!$E$24))</f>
        <v/>
      </c>
      <c r="M204" s="42">
        <f>P203</f>
        <v/>
      </c>
      <c r="N204" s="43">
        <f>IF(M204&gt;0,M204*Plan!$D$25/100/12,0)</f>
        <v/>
      </c>
      <c r="O204" s="42">
        <f>IF(M204&lt;=0,0,MIN(M204+N204,Plan!$E$25+L204))</f>
        <v/>
      </c>
      <c r="P204" s="44">
        <f>MAX(0,M204+N204-O204)</f>
        <v/>
      </c>
      <c r="Q204" s="45">
        <f>L204-IF(M204&lt;=0,0,MAX(0,O204-Plan!$E$25))</f>
        <v/>
      </c>
      <c r="R204" s="42">
        <f>U203</f>
        <v/>
      </c>
      <c r="S204" s="43">
        <f>IF(R204&gt;0,R204*Plan!$D$26/100/12,0)</f>
        <v/>
      </c>
      <c r="T204" s="42">
        <f>IF(R204&lt;=0,0,MIN(R204+S204,Plan!$E$26+Q204))</f>
        <v/>
      </c>
      <c r="U204" s="44">
        <f>MAX(0,R204+S204-T204)</f>
        <v/>
      </c>
      <c r="V204" s="45">
        <f>Q204-IF(R204&lt;=0,0,MAX(0,T204-Plan!$E$26))</f>
        <v/>
      </c>
      <c r="W204" s="42">
        <f>Z203</f>
        <v/>
      </c>
      <c r="X204" s="43">
        <f>IF(W204&gt;0,W204*Plan!$D$27/100/12,0)</f>
        <v/>
      </c>
      <c r="Y204" s="42">
        <f>IF(W204&lt;=0,0,MIN(W204+X204,Plan!$E$27+V204))</f>
        <v/>
      </c>
      <c r="Z204" s="44">
        <f>MAX(0,W204+X204-Y204)</f>
        <v/>
      </c>
      <c r="AA204" s="45">
        <f>V204-IF(W204&lt;=0,0,MAX(0,Y204-Plan!$E$27))</f>
        <v/>
      </c>
      <c r="AB204" s="42">
        <f>AE203</f>
        <v/>
      </c>
      <c r="AC204" s="43">
        <f>IF(AB204&gt;0,AB204*Plan!$D$28/100/12,0)</f>
        <v/>
      </c>
      <c r="AD204" s="42">
        <f>IF(AB204&lt;=0,0,MIN(AB204+AC204,Plan!$E$28+AA204))</f>
        <v/>
      </c>
      <c r="AE204" s="44">
        <f>MAX(0,AB204+AC204-AD204)</f>
        <v/>
      </c>
      <c r="AF204" s="45">
        <f>AA204-IF(AB204&lt;=0,0,MAX(0,AD204-Plan!$E$28))</f>
        <v/>
      </c>
      <c r="AG204" s="44">
        <f>F204+K204+P204+U204+Z204+AE204</f>
        <v/>
      </c>
    </row>
    <row r="205">
      <c r="A205" s="46" t="n">
        <v>198</v>
      </c>
      <c r="B205" s="47">
        <f>EDATE(Plan!$C$18,197)</f>
        <v/>
      </c>
      <c r="C205" s="48">
        <f>F204</f>
        <v/>
      </c>
      <c r="D205" s="49">
        <f>IF(C205&gt;0,C205*Plan!$D$23/100/12,0)</f>
        <v/>
      </c>
      <c r="E205" s="48">
        <f>IF(C205&lt;=0,0,MIN(C205+D205,Plan!$E$23+(Plan!$C$17+IF(C205&lt;=0,Plan!$E$23,MAX(0,Plan!$E$23-(C205+D205)))+IF(H205&lt;=0,Plan!$E$24,MAX(0,Plan!$E$24-(H205+I205)))+IF(M205&lt;=0,Plan!$E$25,MAX(0,Plan!$E$25-(M205+N205)))+IF(R205&lt;=0,Plan!$E$26,MAX(0,Plan!$E$26-(R205+S205)))+IF(W205&lt;=0,Plan!$E$27,MAX(0,Plan!$E$27-(W205+X205)))+IF(AB205&lt;=0,Plan!$E$28,MAX(0,Plan!$E$28-(AB205+AC205))))))</f>
        <v/>
      </c>
      <c r="F205" s="50">
        <f>MAX(0,C205+D205-E205)</f>
        <v/>
      </c>
      <c r="G205" s="51">
        <f>(Plan!$C$17+IF(C205&lt;=0,Plan!$E$23,MAX(0,Plan!$E$23-(C205+D205)))+IF(H205&lt;=0,Plan!$E$24,MAX(0,Plan!$E$24-(H205+I205)))+IF(M205&lt;=0,Plan!$E$25,MAX(0,Plan!$E$25-(M205+N205)))+IF(R205&lt;=0,Plan!$E$26,MAX(0,Plan!$E$26-(R205+S205)))+IF(W205&lt;=0,Plan!$E$27,MAX(0,Plan!$E$27-(W205+X205)))+IF(AB205&lt;=0,Plan!$E$28,MAX(0,Plan!$E$28-(AB205+AC205))))-IF(C205&lt;=0,0,MAX(0,E205-Plan!$E$23))</f>
        <v/>
      </c>
      <c r="H205" s="48">
        <f>K204</f>
        <v/>
      </c>
      <c r="I205" s="49">
        <f>IF(H205&gt;0,H205*Plan!$D$24/100/12,0)</f>
        <v/>
      </c>
      <c r="J205" s="48">
        <f>IF(H205&lt;=0,0,MIN(H205+I205,Plan!$E$24+G205))</f>
        <v/>
      </c>
      <c r="K205" s="50">
        <f>MAX(0,H205+I205-J205)</f>
        <v/>
      </c>
      <c r="L205" s="51">
        <f>G205-IF(H205&lt;=0,0,MAX(0,J205-Plan!$E$24))</f>
        <v/>
      </c>
      <c r="M205" s="48">
        <f>P204</f>
        <v/>
      </c>
      <c r="N205" s="49">
        <f>IF(M205&gt;0,M205*Plan!$D$25/100/12,0)</f>
        <v/>
      </c>
      <c r="O205" s="48">
        <f>IF(M205&lt;=0,0,MIN(M205+N205,Plan!$E$25+L205))</f>
        <v/>
      </c>
      <c r="P205" s="50">
        <f>MAX(0,M205+N205-O205)</f>
        <v/>
      </c>
      <c r="Q205" s="51">
        <f>L205-IF(M205&lt;=0,0,MAX(0,O205-Plan!$E$25))</f>
        <v/>
      </c>
      <c r="R205" s="48">
        <f>U204</f>
        <v/>
      </c>
      <c r="S205" s="49">
        <f>IF(R205&gt;0,R205*Plan!$D$26/100/12,0)</f>
        <v/>
      </c>
      <c r="T205" s="48">
        <f>IF(R205&lt;=0,0,MIN(R205+S205,Plan!$E$26+Q205))</f>
        <v/>
      </c>
      <c r="U205" s="50">
        <f>MAX(0,R205+S205-T205)</f>
        <v/>
      </c>
      <c r="V205" s="51">
        <f>Q205-IF(R205&lt;=0,0,MAX(0,T205-Plan!$E$26))</f>
        <v/>
      </c>
      <c r="W205" s="48">
        <f>Z204</f>
        <v/>
      </c>
      <c r="X205" s="49">
        <f>IF(W205&gt;0,W205*Plan!$D$27/100/12,0)</f>
        <v/>
      </c>
      <c r="Y205" s="48">
        <f>IF(W205&lt;=0,0,MIN(W205+X205,Plan!$E$27+V205))</f>
        <v/>
      </c>
      <c r="Z205" s="50">
        <f>MAX(0,W205+X205-Y205)</f>
        <v/>
      </c>
      <c r="AA205" s="51">
        <f>V205-IF(W205&lt;=0,0,MAX(0,Y205-Plan!$E$27))</f>
        <v/>
      </c>
      <c r="AB205" s="48">
        <f>AE204</f>
        <v/>
      </c>
      <c r="AC205" s="49">
        <f>IF(AB205&gt;0,AB205*Plan!$D$28/100/12,0)</f>
        <v/>
      </c>
      <c r="AD205" s="48">
        <f>IF(AB205&lt;=0,0,MIN(AB205+AC205,Plan!$E$28+AA205))</f>
        <v/>
      </c>
      <c r="AE205" s="50">
        <f>MAX(0,AB205+AC205-AD205)</f>
        <v/>
      </c>
      <c r="AF205" s="51">
        <f>AA205-IF(AB205&lt;=0,0,MAX(0,AD205-Plan!$E$28))</f>
        <v/>
      </c>
      <c r="AG205" s="50">
        <f>F205+K205+P205+U205+Z205+AE205</f>
        <v/>
      </c>
    </row>
    <row r="206">
      <c r="A206" s="40" t="n">
        <v>199</v>
      </c>
      <c r="B206" s="41">
        <f>EDATE(Plan!$C$18,198)</f>
        <v/>
      </c>
      <c r="C206" s="42">
        <f>F205</f>
        <v/>
      </c>
      <c r="D206" s="43">
        <f>IF(C206&gt;0,C206*Plan!$D$23/100/12,0)</f>
        <v/>
      </c>
      <c r="E206" s="42">
        <f>IF(C206&lt;=0,0,MIN(C206+D206,Plan!$E$23+(Plan!$C$17+IF(C206&lt;=0,Plan!$E$23,MAX(0,Plan!$E$23-(C206+D206)))+IF(H206&lt;=0,Plan!$E$24,MAX(0,Plan!$E$24-(H206+I206)))+IF(M206&lt;=0,Plan!$E$25,MAX(0,Plan!$E$25-(M206+N206)))+IF(R206&lt;=0,Plan!$E$26,MAX(0,Plan!$E$26-(R206+S206)))+IF(W206&lt;=0,Plan!$E$27,MAX(0,Plan!$E$27-(W206+X206)))+IF(AB206&lt;=0,Plan!$E$28,MAX(0,Plan!$E$28-(AB206+AC206))))))</f>
        <v/>
      </c>
      <c r="F206" s="44">
        <f>MAX(0,C206+D206-E206)</f>
        <v/>
      </c>
      <c r="G206" s="45">
        <f>(Plan!$C$17+IF(C206&lt;=0,Plan!$E$23,MAX(0,Plan!$E$23-(C206+D206)))+IF(H206&lt;=0,Plan!$E$24,MAX(0,Plan!$E$24-(H206+I206)))+IF(M206&lt;=0,Plan!$E$25,MAX(0,Plan!$E$25-(M206+N206)))+IF(R206&lt;=0,Plan!$E$26,MAX(0,Plan!$E$26-(R206+S206)))+IF(W206&lt;=0,Plan!$E$27,MAX(0,Plan!$E$27-(W206+X206)))+IF(AB206&lt;=0,Plan!$E$28,MAX(0,Plan!$E$28-(AB206+AC206))))-IF(C206&lt;=0,0,MAX(0,E206-Plan!$E$23))</f>
        <v/>
      </c>
      <c r="H206" s="42">
        <f>K205</f>
        <v/>
      </c>
      <c r="I206" s="43">
        <f>IF(H206&gt;0,H206*Plan!$D$24/100/12,0)</f>
        <v/>
      </c>
      <c r="J206" s="42">
        <f>IF(H206&lt;=0,0,MIN(H206+I206,Plan!$E$24+G206))</f>
        <v/>
      </c>
      <c r="K206" s="44">
        <f>MAX(0,H206+I206-J206)</f>
        <v/>
      </c>
      <c r="L206" s="45">
        <f>G206-IF(H206&lt;=0,0,MAX(0,J206-Plan!$E$24))</f>
        <v/>
      </c>
      <c r="M206" s="42">
        <f>P205</f>
        <v/>
      </c>
      <c r="N206" s="43">
        <f>IF(M206&gt;0,M206*Plan!$D$25/100/12,0)</f>
        <v/>
      </c>
      <c r="O206" s="42">
        <f>IF(M206&lt;=0,0,MIN(M206+N206,Plan!$E$25+L206))</f>
        <v/>
      </c>
      <c r="P206" s="44">
        <f>MAX(0,M206+N206-O206)</f>
        <v/>
      </c>
      <c r="Q206" s="45">
        <f>L206-IF(M206&lt;=0,0,MAX(0,O206-Plan!$E$25))</f>
        <v/>
      </c>
      <c r="R206" s="42">
        <f>U205</f>
        <v/>
      </c>
      <c r="S206" s="43">
        <f>IF(R206&gt;0,R206*Plan!$D$26/100/12,0)</f>
        <v/>
      </c>
      <c r="T206" s="42">
        <f>IF(R206&lt;=0,0,MIN(R206+S206,Plan!$E$26+Q206))</f>
        <v/>
      </c>
      <c r="U206" s="44">
        <f>MAX(0,R206+S206-T206)</f>
        <v/>
      </c>
      <c r="V206" s="45">
        <f>Q206-IF(R206&lt;=0,0,MAX(0,T206-Plan!$E$26))</f>
        <v/>
      </c>
      <c r="W206" s="42">
        <f>Z205</f>
        <v/>
      </c>
      <c r="X206" s="43">
        <f>IF(W206&gt;0,W206*Plan!$D$27/100/12,0)</f>
        <v/>
      </c>
      <c r="Y206" s="42">
        <f>IF(W206&lt;=0,0,MIN(W206+X206,Plan!$E$27+V206))</f>
        <v/>
      </c>
      <c r="Z206" s="44">
        <f>MAX(0,W206+X206-Y206)</f>
        <v/>
      </c>
      <c r="AA206" s="45">
        <f>V206-IF(W206&lt;=0,0,MAX(0,Y206-Plan!$E$27))</f>
        <v/>
      </c>
      <c r="AB206" s="42">
        <f>AE205</f>
        <v/>
      </c>
      <c r="AC206" s="43">
        <f>IF(AB206&gt;0,AB206*Plan!$D$28/100/12,0)</f>
        <v/>
      </c>
      <c r="AD206" s="42">
        <f>IF(AB206&lt;=0,0,MIN(AB206+AC206,Plan!$E$28+AA206))</f>
        <v/>
      </c>
      <c r="AE206" s="44">
        <f>MAX(0,AB206+AC206-AD206)</f>
        <v/>
      </c>
      <c r="AF206" s="45">
        <f>AA206-IF(AB206&lt;=0,0,MAX(0,AD206-Plan!$E$28))</f>
        <v/>
      </c>
      <c r="AG206" s="44">
        <f>F206+K206+P206+U206+Z206+AE206</f>
        <v/>
      </c>
    </row>
    <row r="207">
      <c r="A207" s="46" t="n">
        <v>200</v>
      </c>
      <c r="B207" s="47">
        <f>EDATE(Plan!$C$18,199)</f>
        <v/>
      </c>
      <c r="C207" s="48">
        <f>F206</f>
        <v/>
      </c>
      <c r="D207" s="49">
        <f>IF(C207&gt;0,C207*Plan!$D$23/100/12,0)</f>
        <v/>
      </c>
      <c r="E207" s="48">
        <f>IF(C207&lt;=0,0,MIN(C207+D207,Plan!$E$23+(Plan!$C$17+IF(C207&lt;=0,Plan!$E$23,MAX(0,Plan!$E$23-(C207+D207)))+IF(H207&lt;=0,Plan!$E$24,MAX(0,Plan!$E$24-(H207+I207)))+IF(M207&lt;=0,Plan!$E$25,MAX(0,Plan!$E$25-(M207+N207)))+IF(R207&lt;=0,Plan!$E$26,MAX(0,Plan!$E$26-(R207+S207)))+IF(W207&lt;=0,Plan!$E$27,MAX(0,Plan!$E$27-(W207+X207)))+IF(AB207&lt;=0,Plan!$E$28,MAX(0,Plan!$E$28-(AB207+AC207))))))</f>
        <v/>
      </c>
      <c r="F207" s="50">
        <f>MAX(0,C207+D207-E207)</f>
        <v/>
      </c>
      <c r="G207" s="51">
        <f>(Plan!$C$17+IF(C207&lt;=0,Plan!$E$23,MAX(0,Plan!$E$23-(C207+D207)))+IF(H207&lt;=0,Plan!$E$24,MAX(0,Plan!$E$24-(H207+I207)))+IF(M207&lt;=0,Plan!$E$25,MAX(0,Plan!$E$25-(M207+N207)))+IF(R207&lt;=0,Plan!$E$26,MAX(0,Plan!$E$26-(R207+S207)))+IF(W207&lt;=0,Plan!$E$27,MAX(0,Plan!$E$27-(W207+X207)))+IF(AB207&lt;=0,Plan!$E$28,MAX(0,Plan!$E$28-(AB207+AC207))))-IF(C207&lt;=0,0,MAX(0,E207-Plan!$E$23))</f>
        <v/>
      </c>
      <c r="H207" s="48">
        <f>K206</f>
        <v/>
      </c>
      <c r="I207" s="49">
        <f>IF(H207&gt;0,H207*Plan!$D$24/100/12,0)</f>
        <v/>
      </c>
      <c r="J207" s="48">
        <f>IF(H207&lt;=0,0,MIN(H207+I207,Plan!$E$24+G207))</f>
        <v/>
      </c>
      <c r="K207" s="50">
        <f>MAX(0,H207+I207-J207)</f>
        <v/>
      </c>
      <c r="L207" s="51">
        <f>G207-IF(H207&lt;=0,0,MAX(0,J207-Plan!$E$24))</f>
        <v/>
      </c>
      <c r="M207" s="48">
        <f>P206</f>
        <v/>
      </c>
      <c r="N207" s="49">
        <f>IF(M207&gt;0,M207*Plan!$D$25/100/12,0)</f>
        <v/>
      </c>
      <c r="O207" s="48">
        <f>IF(M207&lt;=0,0,MIN(M207+N207,Plan!$E$25+L207))</f>
        <v/>
      </c>
      <c r="P207" s="50">
        <f>MAX(0,M207+N207-O207)</f>
        <v/>
      </c>
      <c r="Q207" s="51">
        <f>L207-IF(M207&lt;=0,0,MAX(0,O207-Plan!$E$25))</f>
        <v/>
      </c>
      <c r="R207" s="48">
        <f>U206</f>
        <v/>
      </c>
      <c r="S207" s="49">
        <f>IF(R207&gt;0,R207*Plan!$D$26/100/12,0)</f>
        <v/>
      </c>
      <c r="T207" s="48">
        <f>IF(R207&lt;=0,0,MIN(R207+S207,Plan!$E$26+Q207))</f>
        <v/>
      </c>
      <c r="U207" s="50">
        <f>MAX(0,R207+S207-T207)</f>
        <v/>
      </c>
      <c r="V207" s="51">
        <f>Q207-IF(R207&lt;=0,0,MAX(0,T207-Plan!$E$26))</f>
        <v/>
      </c>
      <c r="W207" s="48">
        <f>Z206</f>
        <v/>
      </c>
      <c r="X207" s="49">
        <f>IF(W207&gt;0,W207*Plan!$D$27/100/12,0)</f>
        <v/>
      </c>
      <c r="Y207" s="48">
        <f>IF(W207&lt;=0,0,MIN(W207+X207,Plan!$E$27+V207))</f>
        <v/>
      </c>
      <c r="Z207" s="50">
        <f>MAX(0,W207+X207-Y207)</f>
        <v/>
      </c>
      <c r="AA207" s="51">
        <f>V207-IF(W207&lt;=0,0,MAX(0,Y207-Plan!$E$27))</f>
        <v/>
      </c>
      <c r="AB207" s="48">
        <f>AE206</f>
        <v/>
      </c>
      <c r="AC207" s="49">
        <f>IF(AB207&gt;0,AB207*Plan!$D$28/100/12,0)</f>
        <v/>
      </c>
      <c r="AD207" s="48">
        <f>IF(AB207&lt;=0,0,MIN(AB207+AC207,Plan!$E$28+AA207))</f>
        <v/>
      </c>
      <c r="AE207" s="50">
        <f>MAX(0,AB207+AC207-AD207)</f>
        <v/>
      </c>
      <c r="AF207" s="51">
        <f>AA207-IF(AB207&lt;=0,0,MAX(0,AD207-Plan!$E$28))</f>
        <v/>
      </c>
      <c r="AG207" s="50">
        <f>F207+K207+P207+U207+Z207+AE207</f>
        <v/>
      </c>
    </row>
    <row r="208">
      <c r="A208" s="40" t="n">
        <v>201</v>
      </c>
      <c r="B208" s="41">
        <f>EDATE(Plan!$C$18,200)</f>
        <v/>
      </c>
      <c r="C208" s="42">
        <f>F207</f>
        <v/>
      </c>
      <c r="D208" s="43">
        <f>IF(C208&gt;0,C208*Plan!$D$23/100/12,0)</f>
        <v/>
      </c>
      <c r="E208" s="42">
        <f>IF(C208&lt;=0,0,MIN(C208+D208,Plan!$E$23+(Plan!$C$17+IF(C208&lt;=0,Plan!$E$23,MAX(0,Plan!$E$23-(C208+D208)))+IF(H208&lt;=0,Plan!$E$24,MAX(0,Plan!$E$24-(H208+I208)))+IF(M208&lt;=0,Plan!$E$25,MAX(0,Plan!$E$25-(M208+N208)))+IF(R208&lt;=0,Plan!$E$26,MAX(0,Plan!$E$26-(R208+S208)))+IF(W208&lt;=0,Plan!$E$27,MAX(0,Plan!$E$27-(W208+X208)))+IF(AB208&lt;=0,Plan!$E$28,MAX(0,Plan!$E$28-(AB208+AC208))))))</f>
        <v/>
      </c>
      <c r="F208" s="44">
        <f>MAX(0,C208+D208-E208)</f>
        <v/>
      </c>
      <c r="G208" s="45">
        <f>(Plan!$C$17+IF(C208&lt;=0,Plan!$E$23,MAX(0,Plan!$E$23-(C208+D208)))+IF(H208&lt;=0,Plan!$E$24,MAX(0,Plan!$E$24-(H208+I208)))+IF(M208&lt;=0,Plan!$E$25,MAX(0,Plan!$E$25-(M208+N208)))+IF(R208&lt;=0,Plan!$E$26,MAX(0,Plan!$E$26-(R208+S208)))+IF(W208&lt;=0,Plan!$E$27,MAX(0,Plan!$E$27-(W208+X208)))+IF(AB208&lt;=0,Plan!$E$28,MAX(0,Plan!$E$28-(AB208+AC208))))-IF(C208&lt;=0,0,MAX(0,E208-Plan!$E$23))</f>
        <v/>
      </c>
      <c r="H208" s="42">
        <f>K207</f>
        <v/>
      </c>
      <c r="I208" s="43">
        <f>IF(H208&gt;0,H208*Plan!$D$24/100/12,0)</f>
        <v/>
      </c>
      <c r="J208" s="42">
        <f>IF(H208&lt;=0,0,MIN(H208+I208,Plan!$E$24+G208))</f>
        <v/>
      </c>
      <c r="K208" s="44">
        <f>MAX(0,H208+I208-J208)</f>
        <v/>
      </c>
      <c r="L208" s="45">
        <f>G208-IF(H208&lt;=0,0,MAX(0,J208-Plan!$E$24))</f>
        <v/>
      </c>
      <c r="M208" s="42">
        <f>P207</f>
        <v/>
      </c>
      <c r="N208" s="43">
        <f>IF(M208&gt;0,M208*Plan!$D$25/100/12,0)</f>
        <v/>
      </c>
      <c r="O208" s="42">
        <f>IF(M208&lt;=0,0,MIN(M208+N208,Plan!$E$25+L208))</f>
        <v/>
      </c>
      <c r="P208" s="44">
        <f>MAX(0,M208+N208-O208)</f>
        <v/>
      </c>
      <c r="Q208" s="45">
        <f>L208-IF(M208&lt;=0,0,MAX(0,O208-Plan!$E$25))</f>
        <v/>
      </c>
      <c r="R208" s="42">
        <f>U207</f>
        <v/>
      </c>
      <c r="S208" s="43">
        <f>IF(R208&gt;0,R208*Plan!$D$26/100/12,0)</f>
        <v/>
      </c>
      <c r="T208" s="42">
        <f>IF(R208&lt;=0,0,MIN(R208+S208,Plan!$E$26+Q208))</f>
        <v/>
      </c>
      <c r="U208" s="44">
        <f>MAX(0,R208+S208-T208)</f>
        <v/>
      </c>
      <c r="V208" s="45">
        <f>Q208-IF(R208&lt;=0,0,MAX(0,T208-Plan!$E$26))</f>
        <v/>
      </c>
      <c r="W208" s="42">
        <f>Z207</f>
        <v/>
      </c>
      <c r="X208" s="43">
        <f>IF(W208&gt;0,W208*Plan!$D$27/100/12,0)</f>
        <v/>
      </c>
      <c r="Y208" s="42">
        <f>IF(W208&lt;=0,0,MIN(W208+X208,Plan!$E$27+V208))</f>
        <v/>
      </c>
      <c r="Z208" s="44">
        <f>MAX(0,W208+X208-Y208)</f>
        <v/>
      </c>
      <c r="AA208" s="45">
        <f>V208-IF(W208&lt;=0,0,MAX(0,Y208-Plan!$E$27))</f>
        <v/>
      </c>
      <c r="AB208" s="42">
        <f>AE207</f>
        <v/>
      </c>
      <c r="AC208" s="43">
        <f>IF(AB208&gt;0,AB208*Plan!$D$28/100/12,0)</f>
        <v/>
      </c>
      <c r="AD208" s="42">
        <f>IF(AB208&lt;=0,0,MIN(AB208+AC208,Plan!$E$28+AA208))</f>
        <v/>
      </c>
      <c r="AE208" s="44">
        <f>MAX(0,AB208+AC208-AD208)</f>
        <v/>
      </c>
      <c r="AF208" s="45">
        <f>AA208-IF(AB208&lt;=0,0,MAX(0,AD208-Plan!$E$28))</f>
        <v/>
      </c>
      <c r="AG208" s="44">
        <f>F208+K208+P208+U208+Z208+AE208</f>
        <v/>
      </c>
    </row>
    <row r="209">
      <c r="A209" s="46" t="n">
        <v>202</v>
      </c>
      <c r="B209" s="47">
        <f>EDATE(Plan!$C$18,201)</f>
        <v/>
      </c>
      <c r="C209" s="48">
        <f>F208</f>
        <v/>
      </c>
      <c r="D209" s="49">
        <f>IF(C209&gt;0,C209*Plan!$D$23/100/12,0)</f>
        <v/>
      </c>
      <c r="E209" s="48">
        <f>IF(C209&lt;=0,0,MIN(C209+D209,Plan!$E$23+(Plan!$C$17+IF(C209&lt;=0,Plan!$E$23,MAX(0,Plan!$E$23-(C209+D209)))+IF(H209&lt;=0,Plan!$E$24,MAX(0,Plan!$E$24-(H209+I209)))+IF(M209&lt;=0,Plan!$E$25,MAX(0,Plan!$E$25-(M209+N209)))+IF(R209&lt;=0,Plan!$E$26,MAX(0,Plan!$E$26-(R209+S209)))+IF(W209&lt;=0,Plan!$E$27,MAX(0,Plan!$E$27-(W209+X209)))+IF(AB209&lt;=0,Plan!$E$28,MAX(0,Plan!$E$28-(AB209+AC209))))))</f>
        <v/>
      </c>
      <c r="F209" s="50">
        <f>MAX(0,C209+D209-E209)</f>
        <v/>
      </c>
      <c r="G209" s="51">
        <f>(Plan!$C$17+IF(C209&lt;=0,Plan!$E$23,MAX(0,Plan!$E$23-(C209+D209)))+IF(H209&lt;=0,Plan!$E$24,MAX(0,Plan!$E$24-(H209+I209)))+IF(M209&lt;=0,Plan!$E$25,MAX(0,Plan!$E$25-(M209+N209)))+IF(R209&lt;=0,Plan!$E$26,MAX(0,Plan!$E$26-(R209+S209)))+IF(W209&lt;=0,Plan!$E$27,MAX(0,Plan!$E$27-(W209+X209)))+IF(AB209&lt;=0,Plan!$E$28,MAX(0,Plan!$E$28-(AB209+AC209))))-IF(C209&lt;=0,0,MAX(0,E209-Plan!$E$23))</f>
        <v/>
      </c>
      <c r="H209" s="48">
        <f>K208</f>
        <v/>
      </c>
      <c r="I209" s="49">
        <f>IF(H209&gt;0,H209*Plan!$D$24/100/12,0)</f>
        <v/>
      </c>
      <c r="J209" s="48">
        <f>IF(H209&lt;=0,0,MIN(H209+I209,Plan!$E$24+G209))</f>
        <v/>
      </c>
      <c r="K209" s="50">
        <f>MAX(0,H209+I209-J209)</f>
        <v/>
      </c>
      <c r="L209" s="51">
        <f>G209-IF(H209&lt;=0,0,MAX(0,J209-Plan!$E$24))</f>
        <v/>
      </c>
      <c r="M209" s="48">
        <f>P208</f>
        <v/>
      </c>
      <c r="N209" s="49">
        <f>IF(M209&gt;0,M209*Plan!$D$25/100/12,0)</f>
        <v/>
      </c>
      <c r="O209" s="48">
        <f>IF(M209&lt;=0,0,MIN(M209+N209,Plan!$E$25+L209))</f>
        <v/>
      </c>
      <c r="P209" s="50">
        <f>MAX(0,M209+N209-O209)</f>
        <v/>
      </c>
      <c r="Q209" s="51">
        <f>L209-IF(M209&lt;=0,0,MAX(0,O209-Plan!$E$25))</f>
        <v/>
      </c>
      <c r="R209" s="48">
        <f>U208</f>
        <v/>
      </c>
      <c r="S209" s="49">
        <f>IF(R209&gt;0,R209*Plan!$D$26/100/12,0)</f>
        <v/>
      </c>
      <c r="T209" s="48">
        <f>IF(R209&lt;=0,0,MIN(R209+S209,Plan!$E$26+Q209))</f>
        <v/>
      </c>
      <c r="U209" s="50">
        <f>MAX(0,R209+S209-T209)</f>
        <v/>
      </c>
      <c r="V209" s="51">
        <f>Q209-IF(R209&lt;=0,0,MAX(0,T209-Plan!$E$26))</f>
        <v/>
      </c>
      <c r="W209" s="48">
        <f>Z208</f>
        <v/>
      </c>
      <c r="X209" s="49">
        <f>IF(W209&gt;0,W209*Plan!$D$27/100/12,0)</f>
        <v/>
      </c>
      <c r="Y209" s="48">
        <f>IF(W209&lt;=0,0,MIN(W209+X209,Plan!$E$27+V209))</f>
        <v/>
      </c>
      <c r="Z209" s="50">
        <f>MAX(0,W209+X209-Y209)</f>
        <v/>
      </c>
      <c r="AA209" s="51">
        <f>V209-IF(W209&lt;=0,0,MAX(0,Y209-Plan!$E$27))</f>
        <v/>
      </c>
      <c r="AB209" s="48">
        <f>AE208</f>
        <v/>
      </c>
      <c r="AC209" s="49">
        <f>IF(AB209&gt;0,AB209*Plan!$D$28/100/12,0)</f>
        <v/>
      </c>
      <c r="AD209" s="48">
        <f>IF(AB209&lt;=0,0,MIN(AB209+AC209,Plan!$E$28+AA209))</f>
        <v/>
      </c>
      <c r="AE209" s="50">
        <f>MAX(0,AB209+AC209-AD209)</f>
        <v/>
      </c>
      <c r="AF209" s="51">
        <f>AA209-IF(AB209&lt;=0,0,MAX(0,AD209-Plan!$E$28))</f>
        <v/>
      </c>
      <c r="AG209" s="50">
        <f>F209+K209+P209+U209+Z209+AE209</f>
        <v/>
      </c>
    </row>
    <row r="210">
      <c r="A210" s="40" t="n">
        <v>203</v>
      </c>
      <c r="B210" s="41">
        <f>EDATE(Plan!$C$18,202)</f>
        <v/>
      </c>
      <c r="C210" s="42">
        <f>F209</f>
        <v/>
      </c>
      <c r="D210" s="43">
        <f>IF(C210&gt;0,C210*Plan!$D$23/100/12,0)</f>
        <v/>
      </c>
      <c r="E210" s="42">
        <f>IF(C210&lt;=0,0,MIN(C210+D210,Plan!$E$23+(Plan!$C$17+IF(C210&lt;=0,Plan!$E$23,MAX(0,Plan!$E$23-(C210+D210)))+IF(H210&lt;=0,Plan!$E$24,MAX(0,Plan!$E$24-(H210+I210)))+IF(M210&lt;=0,Plan!$E$25,MAX(0,Plan!$E$25-(M210+N210)))+IF(R210&lt;=0,Plan!$E$26,MAX(0,Plan!$E$26-(R210+S210)))+IF(W210&lt;=0,Plan!$E$27,MAX(0,Plan!$E$27-(W210+X210)))+IF(AB210&lt;=0,Plan!$E$28,MAX(0,Plan!$E$28-(AB210+AC210))))))</f>
        <v/>
      </c>
      <c r="F210" s="44">
        <f>MAX(0,C210+D210-E210)</f>
        <v/>
      </c>
      <c r="G210" s="45">
        <f>(Plan!$C$17+IF(C210&lt;=0,Plan!$E$23,MAX(0,Plan!$E$23-(C210+D210)))+IF(H210&lt;=0,Plan!$E$24,MAX(0,Plan!$E$24-(H210+I210)))+IF(M210&lt;=0,Plan!$E$25,MAX(0,Plan!$E$25-(M210+N210)))+IF(R210&lt;=0,Plan!$E$26,MAX(0,Plan!$E$26-(R210+S210)))+IF(W210&lt;=0,Plan!$E$27,MAX(0,Plan!$E$27-(W210+X210)))+IF(AB210&lt;=0,Plan!$E$28,MAX(0,Plan!$E$28-(AB210+AC210))))-IF(C210&lt;=0,0,MAX(0,E210-Plan!$E$23))</f>
        <v/>
      </c>
      <c r="H210" s="42">
        <f>K209</f>
        <v/>
      </c>
      <c r="I210" s="43">
        <f>IF(H210&gt;0,H210*Plan!$D$24/100/12,0)</f>
        <v/>
      </c>
      <c r="J210" s="42">
        <f>IF(H210&lt;=0,0,MIN(H210+I210,Plan!$E$24+G210))</f>
        <v/>
      </c>
      <c r="K210" s="44">
        <f>MAX(0,H210+I210-J210)</f>
        <v/>
      </c>
      <c r="L210" s="45">
        <f>G210-IF(H210&lt;=0,0,MAX(0,J210-Plan!$E$24))</f>
        <v/>
      </c>
      <c r="M210" s="42">
        <f>P209</f>
        <v/>
      </c>
      <c r="N210" s="43">
        <f>IF(M210&gt;0,M210*Plan!$D$25/100/12,0)</f>
        <v/>
      </c>
      <c r="O210" s="42">
        <f>IF(M210&lt;=0,0,MIN(M210+N210,Plan!$E$25+L210))</f>
        <v/>
      </c>
      <c r="P210" s="44">
        <f>MAX(0,M210+N210-O210)</f>
        <v/>
      </c>
      <c r="Q210" s="45">
        <f>L210-IF(M210&lt;=0,0,MAX(0,O210-Plan!$E$25))</f>
        <v/>
      </c>
      <c r="R210" s="42">
        <f>U209</f>
        <v/>
      </c>
      <c r="S210" s="43">
        <f>IF(R210&gt;0,R210*Plan!$D$26/100/12,0)</f>
        <v/>
      </c>
      <c r="T210" s="42">
        <f>IF(R210&lt;=0,0,MIN(R210+S210,Plan!$E$26+Q210))</f>
        <v/>
      </c>
      <c r="U210" s="44">
        <f>MAX(0,R210+S210-T210)</f>
        <v/>
      </c>
      <c r="V210" s="45">
        <f>Q210-IF(R210&lt;=0,0,MAX(0,T210-Plan!$E$26))</f>
        <v/>
      </c>
      <c r="W210" s="42">
        <f>Z209</f>
        <v/>
      </c>
      <c r="X210" s="43">
        <f>IF(W210&gt;0,W210*Plan!$D$27/100/12,0)</f>
        <v/>
      </c>
      <c r="Y210" s="42">
        <f>IF(W210&lt;=0,0,MIN(W210+X210,Plan!$E$27+V210))</f>
        <v/>
      </c>
      <c r="Z210" s="44">
        <f>MAX(0,W210+X210-Y210)</f>
        <v/>
      </c>
      <c r="AA210" s="45">
        <f>V210-IF(W210&lt;=0,0,MAX(0,Y210-Plan!$E$27))</f>
        <v/>
      </c>
      <c r="AB210" s="42">
        <f>AE209</f>
        <v/>
      </c>
      <c r="AC210" s="43">
        <f>IF(AB210&gt;0,AB210*Plan!$D$28/100/12,0)</f>
        <v/>
      </c>
      <c r="AD210" s="42">
        <f>IF(AB210&lt;=0,0,MIN(AB210+AC210,Plan!$E$28+AA210))</f>
        <v/>
      </c>
      <c r="AE210" s="44">
        <f>MAX(0,AB210+AC210-AD210)</f>
        <v/>
      </c>
      <c r="AF210" s="45">
        <f>AA210-IF(AB210&lt;=0,0,MAX(0,AD210-Plan!$E$28))</f>
        <v/>
      </c>
      <c r="AG210" s="44">
        <f>F210+K210+P210+U210+Z210+AE210</f>
        <v/>
      </c>
    </row>
    <row r="211">
      <c r="A211" s="46" t="n">
        <v>204</v>
      </c>
      <c r="B211" s="47">
        <f>EDATE(Plan!$C$18,203)</f>
        <v/>
      </c>
      <c r="C211" s="48">
        <f>F210</f>
        <v/>
      </c>
      <c r="D211" s="49">
        <f>IF(C211&gt;0,C211*Plan!$D$23/100/12,0)</f>
        <v/>
      </c>
      <c r="E211" s="48">
        <f>IF(C211&lt;=0,0,MIN(C211+D211,Plan!$E$23+(Plan!$C$17+IF(C211&lt;=0,Plan!$E$23,MAX(0,Plan!$E$23-(C211+D211)))+IF(H211&lt;=0,Plan!$E$24,MAX(0,Plan!$E$24-(H211+I211)))+IF(M211&lt;=0,Plan!$E$25,MAX(0,Plan!$E$25-(M211+N211)))+IF(R211&lt;=0,Plan!$E$26,MAX(0,Plan!$E$26-(R211+S211)))+IF(W211&lt;=0,Plan!$E$27,MAX(0,Plan!$E$27-(W211+X211)))+IF(AB211&lt;=0,Plan!$E$28,MAX(0,Plan!$E$28-(AB211+AC211))))))</f>
        <v/>
      </c>
      <c r="F211" s="50">
        <f>MAX(0,C211+D211-E211)</f>
        <v/>
      </c>
      <c r="G211" s="51">
        <f>(Plan!$C$17+IF(C211&lt;=0,Plan!$E$23,MAX(0,Plan!$E$23-(C211+D211)))+IF(H211&lt;=0,Plan!$E$24,MAX(0,Plan!$E$24-(H211+I211)))+IF(M211&lt;=0,Plan!$E$25,MAX(0,Plan!$E$25-(M211+N211)))+IF(R211&lt;=0,Plan!$E$26,MAX(0,Plan!$E$26-(R211+S211)))+IF(W211&lt;=0,Plan!$E$27,MAX(0,Plan!$E$27-(W211+X211)))+IF(AB211&lt;=0,Plan!$E$28,MAX(0,Plan!$E$28-(AB211+AC211))))-IF(C211&lt;=0,0,MAX(0,E211-Plan!$E$23))</f>
        <v/>
      </c>
      <c r="H211" s="48">
        <f>K210</f>
        <v/>
      </c>
      <c r="I211" s="49">
        <f>IF(H211&gt;0,H211*Plan!$D$24/100/12,0)</f>
        <v/>
      </c>
      <c r="J211" s="48">
        <f>IF(H211&lt;=0,0,MIN(H211+I211,Plan!$E$24+G211))</f>
        <v/>
      </c>
      <c r="K211" s="50">
        <f>MAX(0,H211+I211-J211)</f>
        <v/>
      </c>
      <c r="L211" s="51">
        <f>G211-IF(H211&lt;=0,0,MAX(0,J211-Plan!$E$24))</f>
        <v/>
      </c>
      <c r="M211" s="48">
        <f>P210</f>
        <v/>
      </c>
      <c r="N211" s="49">
        <f>IF(M211&gt;0,M211*Plan!$D$25/100/12,0)</f>
        <v/>
      </c>
      <c r="O211" s="48">
        <f>IF(M211&lt;=0,0,MIN(M211+N211,Plan!$E$25+L211))</f>
        <v/>
      </c>
      <c r="P211" s="50">
        <f>MAX(0,M211+N211-O211)</f>
        <v/>
      </c>
      <c r="Q211" s="51">
        <f>L211-IF(M211&lt;=0,0,MAX(0,O211-Plan!$E$25))</f>
        <v/>
      </c>
      <c r="R211" s="48">
        <f>U210</f>
        <v/>
      </c>
      <c r="S211" s="49">
        <f>IF(R211&gt;0,R211*Plan!$D$26/100/12,0)</f>
        <v/>
      </c>
      <c r="T211" s="48">
        <f>IF(R211&lt;=0,0,MIN(R211+S211,Plan!$E$26+Q211))</f>
        <v/>
      </c>
      <c r="U211" s="50">
        <f>MAX(0,R211+S211-T211)</f>
        <v/>
      </c>
      <c r="V211" s="51">
        <f>Q211-IF(R211&lt;=0,0,MAX(0,T211-Plan!$E$26))</f>
        <v/>
      </c>
      <c r="W211" s="48">
        <f>Z210</f>
        <v/>
      </c>
      <c r="X211" s="49">
        <f>IF(W211&gt;0,W211*Plan!$D$27/100/12,0)</f>
        <v/>
      </c>
      <c r="Y211" s="48">
        <f>IF(W211&lt;=0,0,MIN(W211+X211,Plan!$E$27+V211))</f>
        <v/>
      </c>
      <c r="Z211" s="50">
        <f>MAX(0,W211+X211-Y211)</f>
        <v/>
      </c>
      <c r="AA211" s="51">
        <f>V211-IF(W211&lt;=0,0,MAX(0,Y211-Plan!$E$27))</f>
        <v/>
      </c>
      <c r="AB211" s="48">
        <f>AE210</f>
        <v/>
      </c>
      <c r="AC211" s="49">
        <f>IF(AB211&gt;0,AB211*Plan!$D$28/100/12,0)</f>
        <v/>
      </c>
      <c r="AD211" s="48">
        <f>IF(AB211&lt;=0,0,MIN(AB211+AC211,Plan!$E$28+AA211))</f>
        <v/>
      </c>
      <c r="AE211" s="50">
        <f>MAX(0,AB211+AC211-AD211)</f>
        <v/>
      </c>
      <c r="AF211" s="51">
        <f>AA211-IF(AB211&lt;=0,0,MAX(0,AD211-Plan!$E$28))</f>
        <v/>
      </c>
      <c r="AG211" s="50">
        <f>F211+K211+P211+U211+Z211+AE211</f>
        <v/>
      </c>
    </row>
    <row r="212">
      <c r="A212" s="40" t="n">
        <v>205</v>
      </c>
      <c r="B212" s="41">
        <f>EDATE(Plan!$C$18,204)</f>
        <v/>
      </c>
      <c r="C212" s="42">
        <f>F211</f>
        <v/>
      </c>
      <c r="D212" s="43">
        <f>IF(C212&gt;0,C212*Plan!$D$23/100/12,0)</f>
        <v/>
      </c>
      <c r="E212" s="42">
        <f>IF(C212&lt;=0,0,MIN(C212+D212,Plan!$E$23+(Plan!$C$17+IF(C212&lt;=0,Plan!$E$23,MAX(0,Plan!$E$23-(C212+D212)))+IF(H212&lt;=0,Plan!$E$24,MAX(0,Plan!$E$24-(H212+I212)))+IF(M212&lt;=0,Plan!$E$25,MAX(0,Plan!$E$25-(M212+N212)))+IF(R212&lt;=0,Plan!$E$26,MAX(0,Plan!$E$26-(R212+S212)))+IF(W212&lt;=0,Plan!$E$27,MAX(0,Plan!$E$27-(W212+X212)))+IF(AB212&lt;=0,Plan!$E$28,MAX(0,Plan!$E$28-(AB212+AC212))))))</f>
        <v/>
      </c>
      <c r="F212" s="44">
        <f>MAX(0,C212+D212-E212)</f>
        <v/>
      </c>
      <c r="G212" s="45">
        <f>(Plan!$C$17+IF(C212&lt;=0,Plan!$E$23,MAX(0,Plan!$E$23-(C212+D212)))+IF(H212&lt;=0,Plan!$E$24,MAX(0,Plan!$E$24-(H212+I212)))+IF(M212&lt;=0,Plan!$E$25,MAX(0,Plan!$E$25-(M212+N212)))+IF(R212&lt;=0,Plan!$E$26,MAX(0,Plan!$E$26-(R212+S212)))+IF(W212&lt;=0,Plan!$E$27,MAX(0,Plan!$E$27-(W212+X212)))+IF(AB212&lt;=0,Plan!$E$28,MAX(0,Plan!$E$28-(AB212+AC212))))-IF(C212&lt;=0,0,MAX(0,E212-Plan!$E$23))</f>
        <v/>
      </c>
      <c r="H212" s="42">
        <f>K211</f>
        <v/>
      </c>
      <c r="I212" s="43">
        <f>IF(H212&gt;0,H212*Plan!$D$24/100/12,0)</f>
        <v/>
      </c>
      <c r="J212" s="42">
        <f>IF(H212&lt;=0,0,MIN(H212+I212,Plan!$E$24+G212))</f>
        <v/>
      </c>
      <c r="K212" s="44">
        <f>MAX(0,H212+I212-J212)</f>
        <v/>
      </c>
      <c r="L212" s="45">
        <f>G212-IF(H212&lt;=0,0,MAX(0,J212-Plan!$E$24))</f>
        <v/>
      </c>
      <c r="M212" s="42">
        <f>P211</f>
        <v/>
      </c>
      <c r="N212" s="43">
        <f>IF(M212&gt;0,M212*Plan!$D$25/100/12,0)</f>
        <v/>
      </c>
      <c r="O212" s="42">
        <f>IF(M212&lt;=0,0,MIN(M212+N212,Plan!$E$25+L212))</f>
        <v/>
      </c>
      <c r="P212" s="44">
        <f>MAX(0,M212+N212-O212)</f>
        <v/>
      </c>
      <c r="Q212" s="45">
        <f>L212-IF(M212&lt;=0,0,MAX(0,O212-Plan!$E$25))</f>
        <v/>
      </c>
      <c r="R212" s="42">
        <f>U211</f>
        <v/>
      </c>
      <c r="S212" s="43">
        <f>IF(R212&gt;0,R212*Plan!$D$26/100/12,0)</f>
        <v/>
      </c>
      <c r="T212" s="42">
        <f>IF(R212&lt;=0,0,MIN(R212+S212,Plan!$E$26+Q212))</f>
        <v/>
      </c>
      <c r="U212" s="44">
        <f>MAX(0,R212+S212-T212)</f>
        <v/>
      </c>
      <c r="V212" s="45">
        <f>Q212-IF(R212&lt;=0,0,MAX(0,T212-Plan!$E$26))</f>
        <v/>
      </c>
      <c r="W212" s="42">
        <f>Z211</f>
        <v/>
      </c>
      <c r="X212" s="43">
        <f>IF(W212&gt;0,W212*Plan!$D$27/100/12,0)</f>
        <v/>
      </c>
      <c r="Y212" s="42">
        <f>IF(W212&lt;=0,0,MIN(W212+X212,Plan!$E$27+V212))</f>
        <v/>
      </c>
      <c r="Z212" s="44">
        <f>MAX(0,W212+X212-Y212)</f>
        <v/>
      </c>
      <c r="AA212" s="45">
        <f>V212-IF(W212&lt;=0,0,MAX(0,Y212-Plan!$E$27))</f>
        <v/>
      </c>
      <c r="AB212" s="42">
        <f>AE211</f>
        <v/>
      </c>
      <c r="AC212" s="43">
        <f>IF(AB212&gt;0,AB212*Plan!$D$28/100/12,0)</f>
        <v/>
      </c>
      <c r="AD212" s="42">
        <f>IF(AB212&lt;=0,0,MIN(AB212+AC212,Plan!$E$28+AA212))</f>
        <v/>
      </c>
      <c r="AE212" s="44">
        <f>MAX(0,AB212+AC212-AD212)</f>
        <v/>
      </c>
      <c r="AF212" s="45">
        <f>AA212-IF(AB212&lt;=0,0,MAX(0,AD212-Plan!$E$28))</f>
        <v/>
      </c>
      <c r="AG212" s="44">
        <f>F212+K212+P212+U212+Z212+AE212</f>
        <v/>
      </c>
    </row>
    <row r="213">
      <c r="A213" s="46" t="n">
        <v>206</v>
      </c>
      <c r="B213" s="47">
        <f>EDATE(Plan!$C$18,205)</f>
        <v/>
      </c>
      <c r="C213" s="48">
        <f>F212</f>
        <v/>
      </c>
      <c r="D213" s="49">
        <f>IF(C213&gt;0,C213*Plan!$D$23/100/12,0)</f>
        <v/>
      </c>
      <c r="E213" s="48">
        <f>IF(C213&lt;=0,0,MIN(C213+D213,Plan!$E$23+(Plan!$C$17+IF(C213&lt;=0,Plan!$E$23,MAX(0,Plan!$E$23-(C213+D213)))+IF(H213&lt;=0,Plan!$E$24,MAX(0,Plan!$E$24-(H213+I213)))+IF(M213&lt;=0,Plan!$E$25,MAX(0,Plan!$E$25-(M213+N213)))+IF(R213&lt;=0,Plan!$E$26,MAX(0,Plan!$E$26-(R213+S213)))+IF(W213&lt;=0,Plan!$E$27,MAX(0,Plan!$E$27-(W213+X213)))+IF(AB213&lt;=0,Plan!$E$28,MAX(0,Plan!$E$28-(AB213+AC213))))))</f>
        <v/>
      </c>
      <c r="F213" s="50">
        <f>MAX(0,C213+D213-E213)</f>
        <v/>
      </c>
      <c r="G213" s="51">
        <f>(Plan!$C$17+IF(C213&lt;=0,Plan!$E$23,MAX(0,Plan!$E$23-(C213+D213)))+IF(H213&lt;=0,Plan!$E$24,MAX(0,Plan!$E$24-(H213+I213)))+IF(M213&lt;=0,Plan!$E$25,MAX(0,Plan!$E$25-(M213+N213)))+IF(R213&lt;=0,Plan!$E$26,MAX(0,Plan!$E$26-(R213+S213)))+IF(W213&lt;=0,Plan!$E$27,MAX(0,Plan!$E$27-(W213+X213)))+IF(AB213&lt;=0,Plan!$E$28,MAX(0,Plan!$E$28-(AB213+AC213))))-IF(C213&lt;=0,0,MAX(0,E213-Plan!$E$23))</f>
        <v/>
      </c>
      <c r="H213" s="48">
        <f>K212</f>
        <v/>
      </c>
      <c r="I213" s="49">
        <f>IF(H213&gt;0,H213*Plan!$D$24/100/12,0)</f>
        <v/>
      </c>
      <c r="J213" s="48">
        <f>IF(H213&lt;=0,0,MIN(H213+I213,Plan!$E$24+G213))</f>
        <v/>
      </c>
      <c r="K213" s="50">
        <f>MAX(0,H213+I213-J213)</f>
        <v/>
      </c>
      <c r="L213" s="51">
        <f>G213-IF(H213&lt;=0,0,MAX(0,J213-Plan!$E$24))</f>
        <v/>
      </c>
      <c r="M213" s="48">
        <f>P212</f>
        <v/>
      </c>
      <c r="N213" s="49">
        <f>IF(M213&gt;0,M213*Plan!$D$25/100/12,0)</f>
        <v/>
      </c>
      <c r="O213" s="48">
        <f>IF(M213&lt;=0,0,MIN(M213+N213,Plan!$E$25+L213))</f>
        <v/>
      </c>
      <c r="P213" s="50">
        <f>MAX(0,M213+N213-O213)</f>
        <v/>
      </c>
      <c r="Q213" s="51">
        <f>L213-IF(M213&lt;=0,0,MAX(0,O213-Plan!$E$25))</f>
        <v/>
      </c>
      <c r="R213" s="48">
        <f>U212</f>
        <v/>
      </c>
      <c r="S213" s="49">
        <f>IF(R213&gt;0,R213*Plan!$D$26/100/12,0)</f>
        <v/>
      </c>
      <c r="T213" s="48">
        <f>IF(R213&lt;=0,0,MIN(R213+S213,Plan!$E$26+Q213))</f>
        <v/>
      </c>
      <c r="U213" s="50">
        <f>MAX(0,R213+S213-T213)</f>
        <v/>
      </c>
      <c r="V213" s="51">
        <f>Q213-IF(R213&lt;=0,0,MAX(0,T213-Plan!$E$26))</f>
        <v/>
      </c>
      <c r="W213" s="48">
        <f>Z212</f>
        <v/>
      </c>
      <c r="X213" s="49">
        <f>IF(W213&gt;0,W213*Plan!$D$27/100/12,0)</f>
        <v/>
      </c>
      <c r="Y213" s="48">
        <f>IF(W213&lt;=0,0,MIN(W213+X213,Plan!$E$27+V213))</f>
        <v/>
      </c>
      <c r="Z213" s="50">
        <f>MAX(0,W213+X213-Y213)</f>
        <v/>
      </c>
      <c r="AA213" s="51">
        <f>V213-IF(W213&lt;=0,0,MAX(0,Y213-Plan!$E$27))</f>
        <v/>
      </c>
      <c r="AB213" s="48">
        <f>AE212</f>
        <v/>
      </c>
      <c r="AC213" s="49">
        <f>IF(AB213&gt;0,AB213*Plan!$D$28/100/12,0)</f>
        <v/>
      </c>
      <c r="AD213" s="48">
        <f>IF(AB213&lt;=0,0,MIN(AB213+AC213,Plan!$E$28+AA213))</f>
        <v/>
      </c>
      <c r="AE213" s="50">
        <f>MAX(0,AB213+AC213-AD213)</f>
        <v/>
      </c>
      <c r="AF213" s="51">
        <f>AA213-IF(AB213&lt;=0,0,MAX(0,AD213-Plan!$E$28))</f>
        <v/>
      </c>
      <c r="AG213" s="50">
        <f>F213+K213+P213+U213+Z213+AE213</f>
        <v/>
      </c>
    </row>
    <row r="214">
      <c r="A214" s="40" t="n">
        <v>207</v>
      </c>
      <c r="B214" s="41">
        <f>EDATE(Plan!$C$18,206)</f>
        <v/>
      </c>
      <c r="C214" s="42">
        <f>F213</f>
        <v/>
      </c>
      <c r="D214" s="43">
        <f>IF(C214&gt;0,C214*Plan!$D$23/100/12,0)</f>
        <v/>
      </c>
      <c r="E214" s="42">
        <f>IF(C214&lt;=0,0,MIN(C214+D214,Plan!$E$23+(Plan!$C$17+IF(C214&lt;=0,Plan!$E$23,MAX(0,Plan!$E$23-(C214+D214)))+IF(H214&lt;=0,Plan!$E$24,MAX(0,Plan!$E$24-(H214+I214)))+IF(M214&lt;=0,Plan!$E$25,MAX(0,Plan!$E$25-(M214+N214)))+IF(R214&lt;=0,Plan!$E$26,MAX(0,Plan!$E$26-(R214+S214)))+IF(W214&lt;=0,Plan!$E$27,MAX(0,Plan!$E$27-(W214+X214)))+IF(AB214&lt;=0,Plan!$E$28,MAX(0,Plan!$E$28-(AB214+AC214))))))</f>
        <v/>
      </c>
      <c r="F214" s="44">
        <f>MAX(0,C214+D214-E214)</f>
        <v/>
      </c>
      <c r="G214" s="45">
        <f>(Plan!$C$17+IF(C214&lt;=0,Plan!$E$23,MAX(0,Plan!$E$23-(C214+D214)))+IF(H214&lt;=0,Plan!$E$24,MAX(0,Plan!$E$24-(H214+I214)))+IF(M214&lt;=0,Plan!$E$25,MAX(0,Plan!$E$25-(M214+N214)))+IF(R214&lt;=0,Plan!$E$26,MAX(0,Plan!$E$26-(R214+S214)))+IF(W214&lt;=0,Plan!$E$27,MAX(0,Plan!$E$27-(W214+X214)))+IF(AB214&lt;=0,Plan!$E$28,MAX(0,Plan!$E$28-(AB214+AC214))))-IF(C214&lt;=0,0,MAX(0,E214-Plan!$E$23))</f>
        <v/>
      </c>
      <c r="H214" s="42">
        <f>K213</f>
        <v/>
      </c>
      <c r="I214" s="43">
        <f>IF(H214&gt;0,H214*Plan!$D$24/100/12,0)</f>
        <v/>
      </c>
      <c r="J214" s="42">
        <f>IF(H214&lt;=0,0,MIN(H214+I214,Plan!$E$24+G214))</f>
        <v/>
      </c>
      <c r="K214" s="44">
        <f>MAX(0,H214+I214-J214)</f>
        <v/>
      </c>
      <c r="L214" s="45">
        <f>G214-IF(H214&lt;=0,0,MAX(0,J214-Plan!$E$24))</f>
        <v/>
      </c>
      <c r="M214" s="42">
        <f>P213</f>
        <v/>
      </c>
      <c r="N214" s="43">
        <f>IF(M214&gt;0,M214*Plan!$D$25/100/12,0)</f>
        <v/>
      </c>
      <c r="O214" s="42">
        <f>IF(M214&lt;=0,0,MIN(M214+N214,Plan!$E$25+L214))</f>
        <v/>
      </c>
      <c r="P214" s="44">
        <f>MAX(0,M214+N214-O214)</f>
        <v/>
      </c>
      <c r="Q214" s="45">
        <f>L214-IF(M214&lt;=0,0,MAX(0,O214-Plan!$E$25))</f>
        <v/>
      </c>
      <c r="R214" s="42">
        <f>U213</f>
        <v/>
      </c>
      <c r="S214" s="43">
        <f>IF(R214&gt;0,R214*Plan!$D$26/100/12,0)</f>
        <v/>
      </c>
      <c r="T214" s="42">
        <f>IF(R214&lt;=0,0,MIN(R214+S214,Plan!$E$26+Q214))</f>
        <v/>
      </c>
      <c r="U214" s="44">
        <f>MAX(0,R214+S214-T214)</f>
        <v/>
      </c>
      <c r="V214" s="45">
        <f>Q214-IF(R214&lt;=0,0,MAX(0,T214-Plan!$E$26))</f>
        <v/>
      </c>
      <c r="W214" s="42">
        <f>Z213</f>
        <v/>
      </c>
      <c r="X214" s="43">
        <f>IF(W214&gt;0,W214*Plan!$D$27/100/12,0)</f>
        <v/>
      </c>
      <c r="Y214" s="42">
        <f>IF(W214&lt;=0,0,MIN(W214+X214,Plan!$E$27+V214))</f>
        <v/>
      </c>
      <c r="Z214" s="44">
        <f>MAX(0,W214+X214-Y214)</f>
        <v/>
      </c>
      <c r="AA214" s="45">
        <f>V214-IF(W214&lt;=0,0,MAX(0,Y214-Plan!$E$27))</f>
        <v/>
      </c>
      <c r="AB214" s="42">
        <f>AE213</f>
        <v/>
      </c>
      <c r="AC214" s="43">
        <f>IF(AB214&gt;0,AB214*Plan!$D$28/100/12,0)</f>
        <v/>
      </c>
      <c r="AD214" s="42">
        <f>IF(AB214&lt;=0,0,MIN(AB214+AC214,Plan!$E$28+AA214))</f>
        <v/>
      </c>
      <c r="AE214" s="44">
        <f>MAX(0,AB214+AC214-AD214)</f>
        <v/>
      </c>
      <c r="AF214" s="45">
        <f>AA214-IF(AB214&lt;=0,0,MAX(0,AD214-Plan!$E$28))</f>
        <v/>
      </c>
      <c r="AG214" s="44">
        <f>F214+K214+P214+U214+Z214+AE214</f>
        <v/>
      </c>
    </row>
    <row r="215">
      <c r="A215" s="46" t="n">
        <v>208</v>
      </c>
      <c r="B215" s="47">
        <f>EDATE(Plan!$C$18,207)</f>
        <v/>
      </c>
      <c r="C215" s="48">
        <f>F214</f>
        <v/>
      </c>
      <c r="D215" s="49">
        <f>IF(C215&gt;0,C215*Plan!$D$23/100/12,0)</f>
        <v/>
      </c>
      <c r="E215" s="48">
        <f>IF(C215&lt;=0,0,MIN(C215+D215,Plan!$E$23+(Plan!$C$17+IF(C215&lt;=0,Plan!$E$23,MAX(0,Plan!$E$23-(C215+D215)))+IF(H215&lt;=0,Plan!$E$24,MAX(0,Plan!$E$24-(H215+I215)))+IF(M215&lt;=0,Plan!$E$25,MAX(0,Plan!$E$25-(M215+N215)))+IF(R215&lt;=0,Plan!$E$26,MAX(0,Plan!$E$26-(R215+S215)))+IF(W215&lt;=0,Plan!$E$27,MAX(0,Plan!$E$27-(W215+X215)))+IF(AB215&lt;=0,Plan!$E$28,MAX(0,Plan!$E$28-(AB215+AC215))))))</f>
        <v/>
      </c>
      <c r="F215" s="50">
        <f>MAX(0,C215+D215-E215)</f>
        <v/>
      </c>
      <c r="G215" s="51">
        <f>(Plan!$C$17+IF(C215&lt;=0,Plan!$E$23,MAX(0,Plan!$E$23-(C215+D215)))+IF(H215&lt;=0,Plan!$E$24,MAX(0,Plan!$E$24-(H215+I215)))+IF(M215&lt;=0,Plan!$E$25,MAX(0,Plan!$E$25-(M215+N215)))+IF(R215&lt;=0,Plan!$E$26,MAX(0,Plan!$E$26-(R215+S215)))+IF(W215&lt;=0,Plan!$E$27,MAX(0,Plan!$E$27-(W215+X215)))+IF(AB215&lt;=0,Plan!$E$28,MAX(0,Plan!$E$28-(AB215+AC215))))-IF(C215&lt;=0,0,MAX(0,E215-Plan!$E$23))</f>
        <v/>
      </c>
      <c r="H215" s="48">
        <f>K214</f>
        <v/>
      </c>
      <c r="I215" s="49">
        <f>IF(H215&gt;0,H215*Plan!$D$24/100/12,0)</f>
        <v/>
      </c>
      <c r="J215" s="48">
        <f>IF(H215&lt;=0,0,MIN(H215+I215,Plan!$E$24+G215))</f>
        <v/>
      </c>
      <c r="K215" s="50">
        <f>MAX(0,H215+I215-J215)</f>
        <v/>
      </c>
      <c r="L215" s="51">
        <f>G215-IF(H215&lt;=0,0,MAX(0,J215-Plan!$E$24))</f>
        <v/>
      </c>
      <c r="M215" s="48">
        <f>P214</f>
        <v/>
      </c>
      <c r="N215" s="49">
        <f>IF(M215&gt;0,M215*Plan!$D$25/100/12,0)</f>
        <v/>
      </c>
      <c r="O215" s="48">
        <f>IF(M215&lt;=0,0,MIN(M215+N215,Plan!$E$25+L215))</f>
        <v/>
      </c>
      <c r="P215" s="50">
        <f>MAX(0,M215+N215-O215)</f>
        <v/>
      </c>
      <c r="Q215" s="51">
        <f>L215-IF(M215&lt;=0,0,MAX(0,O215-Plan!$E$25))</f>
        <v/>
      </c>
      <c r="R215" s="48">
        <f>U214</f>
        <v/>
      </c>
      <c r="S215" s="49">
        <f>IF(R215&gt;0,R215*Plan!$D$26/100/12,0)</f>
        <v/>
      </c>
      <c r="T215" s="48">
        <f>IF(R215&lt;=0,0,MIN(R215+S215,Plan!$E$26+Q215))</f>
        <v/>
      </c>
      <c r="U215" s="50">
        <f>MAX(0,R215+S215-T215)</f>
        <v/>
      </c>
      <c r="V215" s="51">
        <f>Q215-IF(R215&lt;=0,0,MAX(0,T215-Plan!$E$26))</f>
        <v/>
      </c>
      <c r="W215" s="48">
        <f>Z214</f>
        <v/>
      </c>
      <c r="X215" s="49">
        <f>IF(W215&gt;0,W215*Plan!$D$27/100/12,0)</f>
        <v/>
      </c>
      <c r="Y215" s="48">
        <f>IF(W215&lt;=0,0,MIN(W215+X215,Plan!$E$27+V215))</f>
        <v/>
      </c>
      <c r="Z215" s="50">
        <f>MAX(0,W215+X215-Y215)</f>
        <v/>
      </c>
      <c r="AA215" s="51">
        <f>V215-IF(W215&lt;=0,0,MAX(0,Y215-Plan!$E$27))</f>
        <v/>
      </c>
      <c r="AB215" s="48">
        <f>AE214</f>
        <v/>
      </c>
      <c r="AC215" s="49">
        <f>IF(AB215&gt;0,AB215*Plan!$D$28/100/12,0)</f>
        <v/>
      </c>
      <c r="AD215" s="48">
        <f>IF(AB215&lt;=0,0,MIN(AB215+AC215,Plan!$E$28+AA215))</f>
        <v/>
      </c>
      <c r="AE215" s="50">
        <f>MAX(0,AB215+AC215-AD215)</f>
        <v/>
      </c>
      <c r="AF215" s="51">
        <f>AA215-IF(AB215&lt;=0,0,MAX(0,AD215-Plan!$E$28))</f>
        <v/>
      </c>
      <c r="AG215" s="50">
        <f>F215+K215+P215+U215+Z215+AE215</f>
        <v/>
      </c>
    </row>
    <row r="216">
      <c r="A216" s="40" t="n">
        <v>209</v>
      </c>
      <c r="B216" s="41">
        <f>EDATE(Plan!$C$18,208)</f>
        <v/>
      </c>
      <c r="C216" s="42">
        <f>F215</f>
        <v/>
      </c>
      <c r="D216" s="43">
        <f>IF(C216&gt;0,C216*Plan!$D$23/100/12,0)</f>
        <v/>
      </c>
      <c r="E216" s="42">
        <f>IF(C216&lt;=0,0,MIN(C216+D216,Plan!$E$23+(Plan!$C$17+IF(C216&lt;=0,Plan!$E$23,MAX(0,Plan!$E$23-(C216+D216)))+IF(H216&lt;=0,Plan!$E$24,MAX(0,Plan!$E$24-(H216+I216)))+IF(M216&lt;=0,Plan!$E$25,MAX(0,Plan!$E$25-(M216+N216)))+IF(R216&lt;=0,Plan!$E$26,MAX(0,Plan!$E$26-(R216+S216)))+IF(W216&lt;=0,Plan!$E$27,MAX(0,Plan!$E$27-(W216+X216)))+IF(AB216&lt;=0,Plan!$E$28,MAX(0,Plan!$E$28-(AB216+AC216))))))</f>
        <v/>
      </c>
      <c r="F216" s="44">
        <f>MAX(0,C216+D216-E216)</f>
        <v/>
      </c>
      <c r="G216" s="45">
        <f>(Plan!$C$17+IF(C216&lt;=0,Plan!$E$23,MAX(0,Plan!$E$23-(C216+D216)))+IF(H216&lt;=0,Plan!$E$24,MAX(0,Plan!$E$24-(H216+I216)))+IF(M216&lt;=0,Plan!$E$25,MAX(0,Plan!$E$25-(M216+N216)))+IF(R216&lt;=0,Plan!$E$26,MAX(0,Plan!$E$26-(R216+S216)))+IF(W216&lt;=0,Plan!$E$27,MAX(0,Plan!$E$27-(W216+X216)))+IF(AB216&lt;=0,Plan!$E$28,MAX(0,Plan!$E$28-(AB216+AC216))))-IF(C216&lt;=0,0,MAX(0,E216-Plan!$E$23))</f>
        <v/>
      </c>
      <c r="H216" s="42">
        <f>K215</f>
        <v/>
      </c>
      <c r="I216" s="43">
        <f>IF(H216&gt;0,H216*Plan!$D$24/100/12,0)</f>
        <v/>
      </c>
      <c r="J216" s="42">
        <f>IF(H216&lt;=0,0,MIN(H216+I216,Plan!$E$24+G216))</f>
        <v/>
      </c>
      <c r="K216" s="44">
        <f>MAX(0,H216+I216-J216)</f>
        <v/>
      </c>
      <c r="L216" s="45">
        <f>G216-IF(H216&lt;=0,0,MAX(0,J216-Plan!$E$24))</f>
        <v/>
      </c>
      <c r="M216" s="42">
        <f>P215</f>
        <v/>
      </c>
      <c r="N216" s="43">
        <f>IF(M216&gt;0,M216*Plan!$D$25/100/12,0)</f>
        <v/>
      </c>
      <c r="O216" s="42">
        <f>IF(M216&lt;=0,0,MIN(M216+N216,Plan!$E$25+L216))</f>
        <v/>
      </c>
      <c r="P216" s="44">
        <f>MAX(0,M216+N216-O216)</f>
        <v/>
      </c>
      <c r="Q216" s="45">
        <f>L216-IF(M216&lt;=0,0,MAX(0,O216-Plan!$E$25))</f>
        <v/>
      </c>
      <c r="R216" s="42">
        <f>U215</f>
        <v/>
      </c>
      <c r="S216" s="43">
        <f>IF(R216&gt;0,R216*Plan!$D$26/100/12,0)</f>
        <v/>
      </c>
      <c r="T216" s="42">
        <f>IF(R216&lt;=0,0,MIN(R216+S216,Plan!$E$26+Q216))</f>
        <v/>
      </c>
      <c r="U216" s="44">
        <f>MAX(0,R216+S216-T216)</f>
        <v/>
      </c>
      <c r="V216" s="45">
        <f>Q216-IF(R216&lt;=0,0,MAX(0,T216-Plan!$E$26))</f>
        <v/>
      </c>
      <c r="W216" s="42">
        <f>Z215</f>
        <v/>
      </c>
      <c r="X216" s="43">
        <f>IF(W216&gt;0,W216*Plan!$D$27/100/12,0)</f>
        <v/>
      </c>
      <c r="Y216" s="42">
        <f>IF(W216&lt;=0,0,MIN(W216+X216,Plan!$E$27+V216))</f>
        <v/>
      </c>
      <c r="Z216" s="44">
        <f>MAX(0,W216+X216-Y216)</f>
        <v/>
      </c>
      <c r="AA216" s="45">
        <f>V216-IF(W216&lt;=0,0,MAX(0,Y216-Plan!$E$27))</f>
        <v/>
      </c>
      <c r="AB216" s="42">
        <f>AE215</f>
        <v/>
      </c>
      <c r="AC216" s="43">
        <f>IF(AB216&gt;0,AB216*Plan!$D$28/100/12,0)</f>
        <v/>
      </c>
      <c r="AD216" s="42">
        <f>IF(AB216&lt;=0,0,MIN(AB216+AC216,Plan!$E$28+AA216))</f>
        <v/>
      </c>
      <c r="AE216" s="44">
        <f>MAX(0,AB216+AC216-AD216)</f>
        <v/>
      </c>
      <c r="AF216" s="45">
        <f>AA216-IF(AB216&lt;=0,0,MAX(0,AD216-Plan!$E$28))</f>
        <v/>
      </c>
      <c r="AG216" s="44">
        <f>F216+K216+P216+U216+Z216+AE216</f>
        <v/>
      </c>
    </row>
    <row r="217">
      <c r="A217" s="46" t="n">
        <v>210</v>
      </c>
      <c r="B217" s="47">
        <f>EDATE(Plan!$C$18,209)</f>
        <v/>
      </c>
      <c r="C217" s="48">
        <f>F216</f>
        <v/>
      </c>
      <c r="D217" s="49">
        <f>IF(C217&gt;0,C217*Plan!$D$23/100/12,0)</f>
        <v/>
      </c>
      <c r="E217" s="48">
        <f>IF(C217&lt;=0,0,MIN(C217+D217,Plan!$E$23+(Plan!$C$17+IF(C217&lt;=0,Plan!$E$23,MAX(0,Plan!$E$23-(C217+D217)))+IF(H217&lt;=0,Plan!$E$24,MAX(0,Plan!$E$24-(H217+I217)))+IF(M217&lt;=0,Plan!$E$25,MAX(0,Plan!$E$25-(M217+N217)))+IF(R217&lt;=0,Plan!$E$26,MAX(0,Plan!$E$26-(R217+S217)))+IF(W217&lt;=0,Plan!$E$27,MAX(0,Plan!$E$27-(W217+X217)))+IF(AB217&lt;=0,Plan!$E$28,MAX(0,Plan!$E$28-(AB217+AC217))))))</f>
        <v/>
      </c>
      <c r="F217" s="50">
        <f>MAX(0,C217+D217-E217)</f>
        <v/>
      </c>
      <c r="G217" s="51">
        <f>(Plan!$C$17+IF(C217&lt;=0,Plan!$E$23,MAX(0,Plan!$E$23-(C217+D217)))+IF(H217&lt;=0,Plan!$E$24,MAX(0,Plan!$E$24-(H217+I217)))+IF(M217&lt;=0,Plan!$E$25,MAX(0,Plan!$E$25-(M217+N217)))+IF(R217&lt;=0,Plan!$E$26,MAX(0,Plan!$E$26-(R217+S217)))+IF(W217&lt;=0,Plan!$E$27,MAX(0,Plan!$E$27-(W217+X217)))+IF(AB217&lt;=0,Plan!$E$28,MAX(0,Plan!$E$28-(AB217+AC217))))-IF(C217&lt;=0,0,MAX(0,E217-Plan!$E$23))</f>
        <v/>
      </c>
      <c r="H217" s="48">
        <f>K216</f>
        <v/>
      </c>
      <c r="I217" s="49">
        <f>IF(H217&gt;0,H217*Plan!$D$24/100/12,0)</f>
        <v/>
      </c>
      <c r="J217" s="48">
        <f>IF(H217&lt;=0,0,MIN(H217+I217,Plan!$E$24+G217))</f>
        <v/>
      </c>
      <c r="K217" s="50">
        <f>MAX(0,H217+I217-J217)</f>
        <v/>
      </c>
      <c r="L217" s="51">
        <f>G217-IF(H217&lt;=0,0,MAX(0,J217-Plan!$E$24))</f>
        <v/>
      </c>
      <c r="M217" s="48">
        <f>P216</f>
        <v/>
      </c>
      <c r="N217" s="49">
        <f>IF(M217&gt;0,M217*Plan!$D$25/100/12,0)</f>
        <v/>
      </c>
      <c r="O217" s="48">
        <f>IF(M217&lt;=0,0,MIN(M217+N217,Plan!$E$25+L217))</f>
        <v/>
      </c>
      <c r="P217" s="50">
        <f>MAX(0,M217+N217-O217)</f>
        <v/>
      </c>
      <c r="Q217" s="51">
        <f>L217-IF(M217&lt;=0,0,MAX(0,O217-Plan!$E$25))</f>
        <v/>
      </c>
      <c r="R217" s="48">
        <f>U216</f>
        <v/>
      </c>
      <c r="S217" s="49">
        <f>IF(R217&gt;0,R217*Plan!$D$26/100/12,0)</f>
        <v/>
      </c>
      <c r="T217" s="48">
        <f>IF(R217&lt;=0,0,MIN(R217+S217,Plan!$E$26+Q217))</f>
        <v/>
      </c>
      <c r="U217" s="50">
        <f>MAX(0,R217+S217-T217)</f>
        <v/>
      </c>
      <c r="V217" s="51">
        <f>Q217-IF(R217&lt;=0,0,MAX(0,T217-Plan!$E$26))</f>
        <v/>
      </c>
      <c r="W217" s="48">
        <f>Z216</f>
        <v/>
      </c>
      <c r="X217" s="49">
        <f>IF(W217&gt;0,W217*Plan!$D$27/100/12,0)</f>
        <v/>
      </c>
      <c r="Y217" s="48">
        <f>IF(W217&lt;=0,0,MIN(W217+X217,Plan!$E$27+V217))</f>
        <v/>
      </c>
      <c r="Z217" s="50">
        <f>MAX(0,W217+X217-Y217)</f>
        <v/>
      </c>
      <c r="AA217" s="51">
        <f>V217-IF(W217&lt;=0,0,MAX(0,Y217-Plan!$E$27))</f>
        <v/>
      </c>
      <c r="AB217" s="48">
        <f>AE216</f>
        <v/>
      </c>
      <c r="AC217" s="49">
        <f>IF(AB217&gt;0,AB217*Plan!$D$28/100/12,0)</f>
        <v/>
      </c>
      <c r="AD217" s="48">
        <f>IF(AB217&lt;=0,0,MIN(AB217+AC217,Plan!$E$28+AA217))</f>
        <v/>
      </c>
      <c r="AE217" s="50">
        <f>MAX(0,AB217+AC217-AD217)</f>
        <v/>
      </c>
      <c r="AF217" s="51">
        <f>AA217-IF(AB217&lt;=0,0,MAX(0,AD217-Plan!$E$28))</f>
        <v/>
      </c>
      <c r="AG217" s="50">
        <f>F217+K217+P217+U217+Z217+AE217</f>
        <v/>
      </c>
    </row>
    <row r="218">
      <c r="A218" s="40" t="n">
        <v>211</v>
      </c>
      <c r="B218" s="41">
        <f>EDATE(Plan!$C$18,210)</f>
        <v/>
      </c>
      <c r="C218" s="42">
        <f>F217</f>
        <v/>
      </c>
      <c r="D218" s="43">
        <f>IF(C218&gt;0,C218*Plan!$D$23/100/12,0)</f>
        <v/>
      </c>
      <c r="E218" s="42">
        <f>IF(C218&lt;=0,0,MIN(C218+D218,Plan!$E$23+(Plan!$C$17+IF(C218&lt;=0,Plan!$E$23,MAX(0,Plan!$E$23-(C218+D218)))+IF(H218&lt;=0,Plan!$E$24,MAX(0,Plan!$E$24-(H218+I218)))+IF(M218&lt;=0,Plan!$E$25,MAX(0,Plan!$E$25-(M218+N218)))+IF(R218&lt;=0,Plan!$E$26,MAX(0,Plan!$E$26-(R218+S218)))+IF(W218&lt;=0,Plan!$E$27,MAX(0,Plan!$E$27-(W218+X218)))+IF(AB218&lt;=0,Plan!$E$28,MAX(0,Plan!$E$28-(AB218+AC218))))))</f>
        <v/>
      </c>
      <c r="F218" s="44">
        <f>MAX(0,C218+D218-E218)</f>
        <v/>
      </c>
      <c r="G218" s="45">
        <f>(Plan!$C$17+IF(C218&lt;=0,Plan!$E$23,MAX(0,Plan!$E$23-(C218+D218)))+IF(H218&lt;=0,Plan!$E$24,MAX(0,Plan!$E$24-(H218+I218)))+IF(M218&lt;=0,Plan!$E$25,MAX(0,Plan!$E$25-(M218+N218)))+IF(R218&lt;=0,Plan!$E$26,MAX(0,Plan!$E$26-(R218+S218)))+IF(W218&lt;=0,Plan!$E$27,MAX(0,Plan!$E$27-(W218+X218)))+IF(AB218&lt;=0,Plan!$E$28,MAX(0,Plan!$E$28-(AB218+AC218))))-IF(C218&lt;=0,0,MAX(0,E218-Plan!$E$23))</f>
        <v/>
      </c>
      <c r="H218" s="42">
        <f>K217</f>
        <v/>
      </c>
      <c r="I218" s="43">
        <f>IF(H218&gt;0,H218*Plan!$D$24/100/12,0)</f>
        <v/>
      </c>
      <c r="J218" s="42">
        <f>IF(H218&lt;=0,0,MIN(H218+I218,Plan!$E$24+G218))</f>
        <v/>
      </c>
      <c r="K218" s="44">
        <f>MAX(0,H218+I218-J218)</f>
        <v/>
      </c>
      <c r="L218" s="45">
        <f>G218-IF(H218&lt;=0,0,MAX(0,J218-Plan!$E$24))</f>
        <v/>
      </c>
      <c r="M218" s="42">
        <f>P217</f>
        <v/>
      </c>
      <c r="N218" s="43">
        <f>IF(M218&gt;0,M218*Plan!$D$25/100/12,0)</f>
        <v/>
      </c>
      <c r="O218" s="42">
        <f>IF(M218&lt;=0,0,MIN(M218+N218,Plan!$E$25+L218))</f>
        <v/>
      </c>
      <c r="P218" s="44">
        <f>MAX(0,M218+N218-O218)</f>
        <v/>
      </c>
      <c r="Q218" s="45">
        <f>L218-IF(M218&lt;=0,0,MAX(0,O218-Plan!$E$25))</f>
        <v/>
      </c>
      <c r="R218" s="42">
        <f>U217</f>
        <v/>
      </c>
      <c r="S218" s="43">
        <f>IF(R218&gt;0,R218*Plan!$D$26/100/12,0)</f>
        <v/>
      </c>
      <c r="T218" s="42">
        <f>IF(R218&lt;=0,0,MIN(R218+S218,Plan!$E$26+Q218))</f>
        <v/>
      </c>
      <c r="U218" s="44">
        <f>MAX(0,R218+S218-T218)</f>
        <v/>
      </c>
      <c r="V218" s="45">
        <f>Q218-IF(R218&lt;=0,0,MAX(0,T218-Plan!$E$26))</f>
        <v/>
      </c>
      <c r="W218" s="42">
        <f>Z217</f>
        <v/>
      </c>
      <c r="X218" s="43">
        <f>IF(W218&gt;0,W218*Plan!$D$27/100/12,0)</f>
        <v/>
      </c>
      <c r="Y218" s="42">
        <f>IF(W218&lt;=0,0,MIN(W218+X218,Plan!$E$27+V218))</f>
        <v/>
      </c>
      <c r="Z218" s="44">
        <f>MAX(0,W218+X218-Y218)</f>
        <v/>
      </c>
      <c r="AA218" s="45">
        <f>V218-IF(W218&lt;=0,0,MAX(0,Y218-Plan!$E$27))</f>
        <v/>
      </c>
      <c r="AB218" s="42">
        <f>AE217</f>
        <v/>
      </c>
      <c r="AC218" s="43">
        <f>IF(AB218&gt;0,AB218*Plan!$D$28/100/12,0)</f>
        <v/>
      </c>
      <c r="AD218" s="42">
        <f>IF(AB218&lt;=0,0,MIN(AB218+AC218,Plan!$E$28+AA218))</f>
        <v/>
      </c>
      <c r="AE218" s="44">
        <f>MAX(0,AB218+AC218-AD218)</f>
        <v/>
      </c>
      <c r="AF218" s="45">
        <f>AA218-IF(AB218&lt;=0,0,MAX(0,AD218-Plan!$E$28))</f>
        <v/>
      </c>
      <c r="AG218" s="44">
        <f>F218+K218+P218+U218+Z218+AE218</f>
        <v/>
      </c>
    </row>
    <row r="219">
      <c r="A219" s="46" t="n">
        <v>212</v>
      </c>
      <c r="B219" s="47">
        <f>EDATE(Plan!$C$18,211)</f>
        <v/>
      </c>
      <c r="C219" s="48">
        <f>F218</f>
        <v/>
      </c>
      <c r="D219" s="49">
        <f>IF(C219&gt;0,C219*Plan!$D$23/100/12,0)</f>
        <v/>
      </c>
      <c r="E219" s="48">
        <f>IF(C219&lt;=0,0,MIN(C219+D219,Plan!$E$23+(Plan!$C$17+IF(C219&lt;=0,Plan!$E$23,MAX(0,Plan!$E$23-(C219+D219)))+IF(H219&lt;=0,Plan!$E$24,MAX(0,Plan!$E$24-(H219+I219)))+IF(M219&lt;=0,Plan!$E$25,MAX(0,Plan!$E$25-(M219+N219)))+IF(R219&lt;=0,Plan!$E$26,MAX(0,Plan!$E$26-(R219+S219)))+IF(W219&lt;=0,Plan!$E$27,MAX(0,Plan!$E$27-(W219+X219)))+IF(AB219&lt;=0,Plan!$E$28,MAX(0,Plan!$E$28-(AB219+AC219))))))</f>
        <v/>
      </c>
      <c r="F219" s="50">
        <f>MAX(0,C219+D219-E219)</f>
        <v/>
      </c>
      <c r="G219" s="51">
        <f>(Plan!$C$17+IF(C219&lt;=0,Plan!$E$23,MAX(0,Plan!$E$23-(C219+D219)))+IF(H219&lt;=0,Plan!$E$24,MAX(0,Plan!$E$24-(H219+I219)))+IF(M219&lt;=0,Plan!$E$25,MAX(0,Plan!$E$25-(M219+N219)))+IF(R219&lt;=0,Plan!$E$26,MAX(0,Plan!$E$26-(R219+S219)))+IF(W219&lt;=0,Plan!$E$27,MAX(0,Plan!$E$27-(W219+X219)))+IF(AB219&lt;=0,Plan!$E$28,MAX(0,Plan!$E$28-(AB219+AC219))))-IF(C219&lt;=0,0,MAX(0,E219-Plan!$E$23))</f>
        <v/>
      </c>
      <c r="H219" s="48">
        <f>K218</f>
        <v/>
      </c>
      <c r="I219" s="49">
        <f>IF(H219&gt;0,H219*Plan!$D$24/100/12,0)</f>
        <v/>
      </c>
      <c r="J219" s="48">
        <f>IF(H219&lt;=0,0,MIN(H219+I219,Plan!$E$24+G219))</f>
        <v/>
      </c>
      <c r="K219" s="50">
        <f>MAX(0,H219+I219-J219)</f>
        <v/>
      </c>
      <c r="L219" s="51">
        <f>G219-IF(H219&lt;=0,0,MAX(0,J219-Plan!$E$24))</f>
        <v/>
      </c>
      <c r="M219" s="48">
        <f>P218</f>
        <v/>
      </c>
      <c r="N219" s="49">
        <f>IF(M219&gt;0,M219*Plan!$D$25/100/12,0)</f>
        <v/>
      </c>
      <c r="O219" s="48">
        <f>IF(M219&lt;=0,0,MIN(M219+N219,Plan!$E$25+L219))</f>
        <v/>
      </c>
      <c r="P219" s="50">
        <f>MAX(0,M219+N219-O219)</f>
        <v/>
      </c>
      <c r="Q219" s="51">
        <f>L219-IF(M219&lt;=0,0,MAX(0,O219-Plan!$E$25))</f>
        <v/>
      </c>
      <c r="R219" s="48">
        <f>U218</f>
        <v/>
      </c>
      <c r="S219" s="49">
        <f>IF(R219&gt;0,R219*Plan!$D$26/100/12,0)</f>
        <v/>
      </c>
      <c r="T219" s="48">
        <f>IF(R219&lt;=0,0,MIN(R219+S219,Plan!$E$26+Q219))</f>
        <v/>
      </c>
      <c r="U219" s="50">
        <f>MAX(0,R219+S219-T219)</f>
        <v/>
      </c>
      <c r="V219" s="51">
        <f>Q219-IF(R219&lt;=0,0,MAX(0,T219-Plan!$E$26))</f>
        <v/>
      </c>
      <c r="W219" s="48">
        <f>Z218</f>
        <v/>
      </c>
      <c r="X219" s="49">
        <f>IF(W219&gt;0,W219*Plan!$D$27/100/12,0)</f>
        <v/>
      </c>
      <c r="Y219" s="48">
        <f>IF(W219&lt;=0,0,MIN(W219+X219,Plan!$E$27+V219))</f>
        <v/>
      </c>
      <c r="Z219" s="50">
        <f>MAX(0,W219+X219-Y219)</f>
        <v/>
      </c>
      <c r="AA219" s="51">
        <f>V219-IF(W219&lt;=0,0,MAX(0,Y219-Plan!$E$27))</f>
        <v/>
      </c>
      <c r="AB219" s="48">
        <f>AE218</f>
        <v/>
      </c>
      <c r="AC219" s="49">
        <f>IF(AB219&gt;0,AB219*Plan!$D$28/100/12,0)</f>
        <v/>
      </c>
      <c r="AD219" s="48">
        <f>IF(AB219&lt;=0,0,MIN(AB219+AC219,Plan!$E$28+AA219))</f>
        <v/>
      </c>
      <c r="AE219" s="50">
        <f>MAX(0,AB219+AC219-AD219)</f>
        <v/>
      </c>
      <c r="AF219" s="51">
        <f>AA219-IF(AB219&lt;=0,0,MAX(0,AD219-Plan!$E$28))</f>
        <v/>
      </c>
      <c r="AG219" s="50">
        <f>F219+K219+P219+U219+Z219+AE219</f>
        <v/>
      </c>
    </row>
    <row r="220">
      <c r="A220" s="40" t="n">
        <v>213</v>
      </c>
      <c r="B220" s="41">
        <f>EDATE(Plan!$C$18,212)</f>
        <v/>
      </c>
      <c r="C220" s="42">
        <f>F219</f>
        <v/>
      </c>
      <c r="D220" s="43">
        <f>IF(C220&gt;0,C220*Plan!$D$23/100/12,0)</f>
        <v/>
      </c>
      <c r="E220" s="42">
        <f>IF(C220&lt;=0,0,MIN(C220+D220,Plan!$E$23+(Plan!$C$17+IF(C220&lt;=0,Plan!$E$23,MAX(0,Plan!$E$23-(C220+D220)))+IF(H220&lt;=0,Plan!$E$24,MAX(0,Plan!$E$24-(H220+I220)))+IF(M220&lt;=0,Plan!$E$25,MAX(0,Plan!$E$25-(M220+N220)))+IF(R220&lt;=0,Plan!$E$26,MAX(0,Plan!$E$26-(R220+S220)))+IF(W220&lt;=0,Plan!$E$27,MAX(0,Plan!$E$27-(W220+X220)))+IF(AB220&lt;=0,Plan!$E$28,MAX(0,Plan!$E$28-(AB220+AC220))))))</f>
        <v/>
      </c>
      <c r="F220" s="44">
        <f>MAX(0,C220+D220-E220)</f>
        <v/>
      </c>
      <c r="G220" s="45">
        <f>(Plan!$C$17+IF(C220&lt;=0,Plan!$E$23,MAX(0,Plan!$E$23-(C220+D220)))+IF(H220&lt;=0,Plan!$E$24,MAX(0,Plan!$E$24-(H220+I220)))+IF(M220&lt;=0,Plan!$E$25,MAX(0,Plan!$E$25-(M220+N220)))+IF(R220&lt;=0,Plan!$E$26,MAX(0,Plan!$E$26-(R220+S220)))+IF(W220&lt;=0,Plan!$E$27,MAX(0,Plan!$E$27-(W220+X220)))+IF(AB220&lt;=0,Plan!$E$28,MAX(0,Plan!$E$28-(AB220+AC220))))-IF(C220&lt;=0,0,MAX(0,E220-Plan!$E$23))</f>
        <v/>
      </c>
      <c r="H220" s="42">
        <f>K219</f>
        <v/>
      </c>
      <c r="I220" s="43">
        <f>IF(H220&gt;0,H220*Plan!$D$24/100/12,0)</f>
        <v/>
      </c>
      <c r="J220" s="42">
        <f>IF(H220&lt;=0,0,MIN(H220+I220,Plan!$E$24+G220))</f>
        <v/>
      </c>
      <c r="K220" s="44">
        <f>MAX(0,H220+I220-J220)</f>
        <v/>
      </c>
      <c r="L220" s="45">
        <f>G220-IF(H220&lt;=0,0,MAX(0,J220-Plan!$E$24))</f>
        <v/>
      </c>
      <c r="M220" s="42">
        <f>P219</f>
        <v/>
      </c>
      <c r="N220" s="43">
        <f>IF(M220&gt;0,M220*Plan!$D$25/100/12,0)</f>
        <v/>
      </c>
      <c r="O220" s="42">
        <f>IF(M220&lt;=0,0,MIN(M220+N220,Plan!$E$25+L220))</f>
        <v/>
      </c>
      <c r="P220" s="44">
        <f>MAX(0,M220+N220-O220)</f>
        <v/>
      </c>
      <c r="Q220" s="45">
        <f>L220-IF(M220&lt;=0,0,MAX(0,O220-Plan!$E$25))</f>
        <v/>
      </c>
      <c r="R220" s="42">
        <f>U219</f>
        <v/>
      </c>
      <c r="S220" s="43">
        <f>IF(R220&gt;0,R220*Plan!$D$26/100/12,0)</f>
        <v/>
      </c>
      <c r="T220" s="42">
        <f>IF(R220&lt;=0,0,MIN(R220+S220,Plan!$E$26+Q220))</f>
        <v/>
      </c>
      <c r="U220" s="44">
        <f>MAX(0,R220+S220-T220)</f>
        <v/>
      </c>
      <c r="V220" s="45">
        <f>Q220-IF(R220&lt;=0,0,MAX(0,T220-Plan!$E$26))</f>
        <v/>
      </c>
      <c r="W220" s="42">
        <f>Z219</f>
        <v/>
      </c>
      <c r="X220" s="43">
        <f>IF(W220&gt;0,W220*Plan!$D$27/100/12,0)</f>
        <v/>
      </c>
      <c r="Y220" s="42">
        <f>IF(W220&lt;=0,0,MIN(W220+X220,Plan!$E$27+V220))</f>
        <v/>
      </c>
      <c r="Z220" s="44">
        <f>MAX(0,W220+X220-Y220)</f>
        <v/>
      </c>
      <c r="AA220" s="45">
        <f>V220-IF(W220&lt;=0,0,MAX(0,Y220-Plan!$E$27))</f>
        <v/>
      </c>
      <c r="AB220" s="42">
        <f>AE219</f>
        <v/>
      </c>
      <c r="AC220" s="43">
        <f>IF(AB220&gt;0,AB220*Plan!$D$28/100/12,0)</f>
        <v/>
      </c>
      <c r="AD220" s="42">
        <f>IF(AB220&lt;=0,0,MIN(AB220+AC220,Plan!$E$28+AA220))</f>
        <v/>
      </c>
      <c r="AE220" s="44">
        <f>MAX(0,AB220+AC220-AD220)</f>
        <v/>
      </c>
      <c r="AF220" s="45">
        <f>AA220-IF(AB220&lt;=0,0,MAX(0,AD220-Plan!$E$28))</f>
        <v/>
      </c>
      <c r="AG220" s="44">
        <f>F220+K220+P220+U220+Z220+AE220</f>
        <v/>
      </c>
    </row>
    <row r="221">
      <c r="A221" s="46" t="n">
        <v>214</v>
      </c>
      <c r="B221" s="47">
        <f>EDATE(Plan!$C$18,213)</f>
        <v/>
      </c>
      <c r="C221" s="48">
        <f>F220</f>
        <v/>
      </c>
      <c r="D221" s="49">
        <f>IF(C221&gt;0,C221*Plan!$D$23/100/12,0)</f>
        <v/>
      </c>
      <c r="E221" s="48">
        <f>IF(C221&lt;=0,0,MIN(C221+D221,Plan!$E$23+(Plan!$C$17+IF(C221&lt;=0,Plan!$E$23,MAX(0,Plan!$E$23-(C221+D221)))+IF(H221&lt;=0,Plan!$E$24,MAX(0,Plan!$E$24-(H221+I221)))+IF(M221&lt;=0,Plan!$E$25,MAX(0,Plan!$E$25-(M221+N221)))+IF(R221&lt;=0,Plan!$E$26,MAX(0,Plan!$E$26-(R221+S221)))+IF(W221&lt;=0,Plan!$E$27,MAX(0,Plan!$E$27-(W221+X221)))+IF(AB221&lt;=0,Plan!$E$28,MAX(0,Plan!$E$28-(AB221+AC221))))))</f>
        <v/>
      </c>
      <c r="F221" s="50">
        <f>MAX(0,C221+D221-E221)</f>
        <v/>
      </c>
      <c r="G221" s="51">
        <f>(Plan!$C$17+IF(C221&lt;=0,Plan!$E$23,MAX(0,Plan!$E$23-(C221+D221)))+IF(H221&lt;=0,Plan!$E$24,MAX(0,Plan!$E$24-(H221+I221)))+IF(M221&lt;=0,Plan!$E$25,MAX(0,Plan!$E$25-(M221+N221)))+IF(R221&lt;=0,Plan!$E$26,MAX(0,Plan!$E$26-(R221+S221)))+IF(W221&lt;=0,Plan!$E$27,MAX(0,Plan!$E$27-(W221+X221)))+IF(AB221&lt;=0,Plan!$E$28,MAX(0,Plan!$E$28-(AB221+AC221))))-IF(C221&lt;=0,0,MAX(0,E221-Plan!$E$23))</f>
        <v/>
      </c>
      <c r="H221" s="48">
        <f>K220</f>
        <v/>
      </c>
      <c r="I221" s="49">
        <f>IF(H221&gt;0,H221*Plan!$D$24/100/12,0)</f>
        <v/>
      </c>
      <c r="J221" s="48">
        <f>IF(H221&lt;=0,0,MIN(H221+I221,Plan!$E$24+G221))</f>
        <v/>
      </c>
      <c r="K221" s="50">
        <f>MAX(0,H221+I221-J221)</f>
        <v/>
      </c>
      <c r="L221" s="51">
        <f>G221-IF(H221&lt;=0,0,MAX(0,J221-Plan!$E$24))</f>
        <v/>
      </c>
      <c r="M221" s="48">
        <f>P220</f>
        <v/>
      </c>
      <c r="N221" s="49">
        <f>IF(M221&gt;0,M221*Plan!$D$25/100/12,0)</f>
        <v/>
      </c>
      <c r="O221" s="48">
        <f>IF(M221&lt;=0,0,MIN(M221+N221,Plan!$E$25+L221))</f>
        <v/>
      </c>
      <c r="P221" s="50">
        <f>MAX(0,M221+N221-O221)</f>
        <v/>
      </c>
      <c r="Q221" s="51">
        <f>L221-IF(M221&lt;=0,0,MAX(0,O221-Plan!$E$25))</f>
        <v/>
      </c>
      <c r="R221" s="48">
        <f>U220</f>
        <v/>
      </c>
      <c r="S221" s="49">
        <f>IF(R221&gt;0,R221*Plan!$D$26/100/12,0)</f>
        <v/>
      </c>
      <c r="T221" s="48">
        <f>IF(R221&lt;=0,0,MIN(R221+S221,Plan!$E$26+Q221))</f>
        <v/>
      </c>
      <c r="U221" s="50">
        <f>MAX(0,R221+S221-T221)</f>
        <v/>
      </c>
      <c r="V221" s="51">
        <f>Q221-IF(R221&lt;=0,0,MAX(0,T221-Plan!$E$26))</f>
        <v/>
      </c>
      <c r="W221" s="48">
        <f>Z220</f>
        <v/>
      </c>
      <c r="X221" s="49">
        <f>IF(W221&gt;0,W221*Plan!$D$27/100/12,0)</f>
        <v/>
      </c>
      <c r="Y221" s="48">
        <f>IF(W221&lt;=0,0,MIN(W221+X221,Plan!$E$27+V221))</f>
        <v/>
      </c>
      <c r="Z221" s="50">
        <f>MAX(0,W221+X221-Y221)</f>
        <v/>
      </c>
      <c r="AA221" s="51">
        <f>V221-IF(W221&lt;=0,0,MAX(0,Y221-Plan!$E$27))</f>
        <v/>
      </c>
      <c r="AB221" s="48">
        <f>AE220</f>
        <v/>
      </c>
      <c r="AC221" s="49">
        <f>IF(AB221&gt;0,AB221*Plan!$D$28/100/12,0)</f>
        <v/>
      </c>
      <c r="AD221" s="48">
        <f>IF(AB221&lt;=0,0,MIN(AB221+AC221,Plan!$E$28+AA221))</f>
        <v/>
      </c>
      <c r="AE221" s="50">
        <f>MAX(0,AB221+AC221-AD221)</f>
        <v/>
      </c>
      <c r="AF221" s="51">
        <f>AA221-IF(AB221&lt;=0,0,MAX(0,AD221-Plan!$E$28))</f>
        <v/>
      </c>
      <c r="AG221" s="50">
        <f>F221+K221+P221+U221+Z221+AE221</f>
        <v/>
      </c>
    </row>
    <row r="222">
      <c r="A222" s="40" t="n">
        <v>215</v>
      </c>
      <c r="B222" s="41">
        <f>EDATE(Plan!$C$18,214)</f>
        <v/>
      </c>
      <c r="C222" s="42">
        <f>F221</f>
        <v/>
      </c>
      <c r="D222" s="43">
        <f>IF(C222&gt;0,C222*Plan!$D$23/100/12,0)</f>
        <v/>
      </c>
      <c r="E222" s="42">
        <f>IF(C222&lt;=0,0,MIN(C222+D222,Plan!$E$23+(Plan!$C$17+IF(C222&lt;=0,Plan!$E$23,MAX(0,Plan!$E$23-(C222+D222)))+IF(H222&lt;=0,Plan!$E$24,MAX(0,Plan!$E$24-(H222+I222)))+IF(M222&lt;=0,Plan!$E$25,MAX(0,Plan!$E$25-(M222+N222)))+IF(R222&lt;=0,Plan!$E$26,MAX(0,Plan!$E$26-(R222+S222)))+IF(W222&lt;=0,Plan!$E$27,MAX(0,Plan!$E$27-(W222+X222)))+IF(AB222&lt;=0,Plan!$E$28,MAX(0,Plan!$E$28-(AB222+AC222))))))</f>
        <v/>
      </c>
      <c r="F222" s="44">
        <f>MAX(0,C222+D222-E222)</f>
        <v/>
      </c>
      <c r="G222" s="45">
        <f>(Plan!$C$17+IF(C222&lt;=0,Plan!$E$23,MAX(0,Plan!$E$23-(C222+D222)))+IF(H222&lt;=0,Plan!$E$24,MAX(0,Plan!$E$24-(H222+I222)))+IF(M222&lt;=0,Plan!$E$25,MAX(0,Plan!$E$25-(M222+N222)))+IF(R222&lt;=0,Plan!$E$26,MAX(0,Plan!$E$26-(R222+S222)))+IF(W222&lt;=0,Plan!$E$27,MAX(0,Plan!$E$27-(W222+X222)))+IF(AB222&lt;=0,Plan!$E$28,MAX(0,Plan!$E$28-(AB222+AC222))))-IF(C222&lt;=0,0,MAX(0,E222-Plan!$E$23))</f>
        <v/>
      </c>
      <c r="H222" s="42">
        <f>K221</f>
        <v/>
      </c>
      <c r="I222" s="43">
        <f>IF(H222&gt;0,H222*Plan!$D$24/100/12,0)</f>
        <v/>
      </c>
      <c r="J222" s="42">
        <f>IF(H222&lt;=0,0,MIN(H222+I222,Plan!$E$24+G222))</f>
        <v/>
      </c>
      <c r="K222" s="44">
        <f>MAX(0,H222+I222-J222)</f>
        <v/>
      </c>
      <c r="L222" s="45">
        <f>G222-IF(H222&lt;=0,0,MAX(0,J222-Plan!$E$24))</f>
        <v/>
      </c>
      <c r="M222" s="42">
        <f>P221</f>
        <v/>
      </c>
      <c r="N222" s="43">
        <f>IF(M222&gt;0,M222*Plan!$D$25/100/12,0)</f>
        <v/>
      </c>
      <c r="O222" s="42">
        <f>IF(M222&lt;=0,0,MIN(M222+N222,Plan!$E$25+L222))</f>
        <v/>
      </c>
      <c r="P222" s="44">
        <f>MAX(0,M222+N222-O222)</f>
        <v/>
      </c>
      <c r="Q222" s="45">
        <f>L222-IF(M222&lt;=0,0,MAX(0,O222-Plan!$E$25))</f>
        <v/>
      </c>
      <c r="R222" s="42">
        <f>U221</f>
        <v/>
      </c>
      <c r="S222" s="43">
        <f>IF(R222&gt;0,R222*Plan!$D$26/100/12,0)</f>
        <v/>
      </c>
      <c r="T222" s="42">
        <f>IF(R222&lt;=0,0,MIN(R222+S222,Plan!$E$26+Q222))</f>
        <v/>
      </c>
      <c r="U222" s="44">
        <f>MAX(0,R222+S222-T222)</f>
        <v/>
      </c>
      <c r="V222" s="45">
        <f>Q222-IF(R222&lt;=0,0,MAX(0,T222-Plan!$E$26))</f>
        <v/>
      </c>
      <c r="W222" s="42">
        <f>Z221</f>
        <v/>
      </c>
      <c r="X222" s="43">
        <f>IF(W222&gt;0,W222*Plan!$D$27/100/12,0)</f>
        <v/>
      </c>
      <c r="Y222" s="42">
        <f>IF(W222&lt;=0,0,MIN(W222+X222,Plan!$E$27+V222))</f>
        <v/>
      </c>
      <c r="Z222" s="44">
        <f>MAX(0,W222+X222-Y222)</f>
        <v/>
      </c>
      <c r="AA222" s="45">
        <f>V222-IF(W222&lt;=0,0,MAX(0,Y222-Plan!$E$27))</f>
        <v/>
      </c>
      <c r="AB222" s="42">
        <f>AE221</f>
        <v/>
      </c>
      <c r="AC222" s="43">
        <f>IF(AB222&gt;0,AB222*Plan!$D$28/100/12,0)</f>
        <v/>
      </c>
      <c r="AD222" s="42">
        <f>IF(AB222&lt;=0,0,MIN(AB222+AC222,Plan!$E$28+AA222))</f>
        <v/>
      </c>
      <c r="AE222" s="44">
        <f>MAX(0,AB222+AC222-AD222)</f>
        <v/>
      </c>
      <c r="AF222" s="45">
        <f>AA222-IF(AB222&lt;=0,0,MAX(0,AD222-Plan!$E$28))</f>
        <v/>
      </c>
      <c r="AG222" s="44">
        <f>F222+K222+P222+U222+Z222+AE222</f>
        <v/>
      </c>
    </row>
    <row r="223">
      <c r="A223" s="46" t="n">
        <v>216</v>
      </c>
      <c r="B223" s="47">
        <f>EDATE(Plan!$C$18,215)</f>
        <v/>
      </c>
      <c r="C223" s="48">
        <f>F222</f>
        <v/>
      </c>
      <c r="D223" s="49">
        <f>IF(C223&gt;0,C223*Plan!$D$23/100/12,0)</f>
        <v/>
      </c>
      <c r="E223" s="48">
        <f>IF(C223&lt;=0,0,MIN(C223+D223,Plan!$E$23+(Plan!$C$17+IF(C223&lt;=0,Plan!$E$23,MAX(0,Plan!$E$23-(C223+D223)))+IF(H223&lt;=0,Plan!$E$24,MAX(0,Plan!$E$24-(H223+I223)))+IF(M223&lt;=0,Plan!$E$25,MAX(0,Plan!$E$25-(M223+N223)))+IF(R223&lt;=0,Plan!$E$26,MAX(0,Plan!$E$26-(R223+S223)))+IF(W223&lt;=0,Plan!$E$27,MAX(0,Plan!$E$27-(W223+X223)))+IF(AB223&lt;=0,Plan!$E$28,MAX(0,Plan!$E$28-(AB223+AC223))))))</f>
        <v/>
      </c>
      <c r="F223" s="50">
        <f>MAX(0,C223+D223-E223)</f>
        <v/>
      </c>
      <c r="G223" s="51">
        <f>(Plan!$C$17+IF(C223&lt;=0,Plan!$E$23,MAX(0,Plan!$E$23-(C223+D223)))+IF(H223&lt;=0,Plan!$E$24,MAX(0,Plan!$E$24-(H223+I223)))+IF(M223&lt;=0,Plan!$E$25,MAX(0,Plan!$E$25-(M223+N223)))+IF(R223&lt;=0,Plan!$E$26,MAX(0,Plan!$E$26-(R223+S223)))+IF(W223&lt;=0,Plan!$E$27,MAX(0,Plan!$E$27-(W223+X223)))+IF(AB223&lt;=0,Plan!$E$28,MAX(0,Plan!$E$28-(AB223+AC223))))-IF(C223&lt;=0,0,MAX(0,E223-Plan!$E$23))</f>
        <v/>
      </c>
      <c r="H223" s="48">
        <f>K222</f>
        <v/>
      </c>
      <c r="I223" s="49">
        <f>IF(H223&gt;0,H223*Plan!$D$24/100/12,0)</f>
        <v/>
      </c>
      <c r="J223" s="48">
        <f>IF(H223&lt;=0,0,MIN(H223+I223,Plan!$E$24+G223))</f>
        <v/>
      </c>
      <c r="K223" s="50">
        <f>MAX(0,H223+I223-J223)</f>
        <v/>
      </c>
      <c r="L223" s="51">
        <f>G223-IF(H223&lt;=0,0,MAX(0,J223-Plan!$E$24))</f>
        <v/>
      </c>
      <c r="M223" s="48">
        <f>P222</f>
        <v/>
      </c>
      <c r="N223" s="49">
        <f>IF(M223&gt;0,M223*Plan!$D$25/100/12,0)</f>
        <v/>
      </c>
      <c r="O223" s="48">
        <f>IF(M223&lt;=0,0,MIN(M223+N223,Plan!$E$25+L223))</f>
        <v/>
      </c>
      <c r="P223" s="50">
        <f>MAX(0,M223+N223-O223)</f>
        <v/>
      </c>
      <c r="Q223" s="51">
        <f>L223-IF(M223&lt;=0,0,MAX(0,O223-Plan!$E$25))</f>
        <v/>
      </c>
      <c r="R223" s="48">
        <f>U222</f>
        <v/>
      </c>
      <c r="S223" s="49">
        <f>IF(R223&gt;0,R223*Plan!$D$26/100/12,0)</f>
        <v/>
      </c>
      <c r="T223" s="48">
        <f>IF(R223&lt;=0,0,MIN(R223+S223,Plan!$E$26+Q223))</f>
        <v/>
      </c>
      <c r="U223" s="50">
        <f>MAX(0,R223+S223-T223)</f>
        <v/>
      </c>
      <c r="V223" s="51">
        <f>Q223-IF(R223&lt;=0,0,MAX(0,T223-Plan!$E$26))</f>
        <v/>
      </c>
      <c r="W223" s="48">
        <f>Z222</f>
        <v/>
      </c>
      <c r="X223" s="49">
        <f>IF(W223&gt;0,W223*Plan!$D$27/100/12,0)</f>
        <v/>
      </c>
      <c r="Y223" s="48">
        <f>IF(W223&lt;=0,0,MIN(W223+X223,Plan!$E$27+V223))</f>
        <v/>
      </c>
      <c r="Z223" s="50">
        <f>MAX(0,W223+X223-Y223)</f>
        <v/>
      </c>
      <c r="AA223" s="51">
        <f>V223-IF(W223&lt;=0,0,MAX(0,Y223-Plan!$E$27))</f>
        <v/>
      </c>
      <c r="AB223" s="48">
        <f>AE222</f>
        <v/>
      </c>
      <c r="AC223" s="49">
        <f>IF(AB223&gt;0,AB223*Plan!$D$28/100/12,0)</f>
        <v/>
      </c>
      <c r="AD223" s="48">
        <f>IF(AB223&lt;=0,0,MIN(AB223+AC223,Plan!$E$28+AA223))</f>
        <v/>
      </c>
      <c r="AE223" s="50">
        <f>MAX(0,AB223+AC223-AD223)</f>
        <v/>
      </c>
      <c r="AF223" s="51">
        <f>AA223-IF(AB223&lt;=0,0,MAX(0,AD223-Plan!$E$28))</f>
        <v/>
      </c>
      <c r="AG223" s="50">
        <f>F223+K223+P223+U223+Z223+AE223</f>
        <v/>
      </c>
    </row>
    <row r="224">
      <c r="A224" s="40" t="n">
        <v>217</v>
      </c>
      <c r="B224" s="41">
        <f>EDATE(Plan!$C$18,216)</f>
        <v/>
      </c>
      <c r="C224" s="42">
        <f>F223</f>
        <v/>
      </c>
      <c r="D224" s="43">
        <f>IF(C224&gt;0,C224*Plan!$D$23/100/12,0)</f>
        <v/>
      </c>
      <c r="E224" s="42">
        <f>IF(C224&lt;=0,0,MIN(C224+D224,Plan!$E$23+(Plan!$C$17+IF(C224&lt;=0,Plan!$E$23,MAX(0,Plan!$E$23-(C224+D224)))+IF(H224&lt;=0,Plan!$E$24,MAX(0,Plan!$E$24-(H224+I224)))+IF(M224&lt;=0,Plan!$E$25,MAX(0,Plan!$E$25-(M224+N224)))+IF(R224&lt;=0,Plan!$E$26,MAX(0,Plan!$E$26-(R224+S224)))+IF(W224&lt;=0,Plan!$E$27,MAX(0,Plan!$E$27-(W224+X224)))+IF(AB224&lt;=0,Plan!$E$28,MAX(0,Plan!$E$28-(AB224+AC224))))))</f>
        <v/>
      </c>
      <c r="F224" s="44">
        <f>MAX(0,C224+D224-E224)</f>
        <v/>
      </c>
      <c r="G224" s="45">
        <f>(Plan!$C$17+IF(C224&lt;=0,Plan!$E$23,MAX(0,Plan!$E$23-(C224+D224)))+IF(H224&lt;=0,Plan!$E$24,MAX(0,Plan!$E$24-(H224+I224)))+IF(M224&lt;=0,Plan!$E$25,MAX(0,Plan!$E$25-(M224+N224)))+IF(R224&lt;=0,Plan!$E$26,MAX(0,Plan!$E$26-(R224+S224)))+IF(W224&lt;=0,Plan!$E$27,MAX(0,Plan!$E$27-(W224+X224)))+IF(AB224&lt;=0,Plan!$E$28,MAX(0,Plan!$E$28-(AB224+AC224))))-IF(C224&lt;=0,0,MAX(0,E224-Plan!$E$23))</f>
        <v/>
      </c>
      <c r="H224" s="42">
        <f>K223</f>
        <v/>
      </c>
      <c r="I224" s="43">
        <f>IF(H224&gt;0,H224*Plan!$D$24/100/12,0)</f>
        <v/>
      </c>
      <c r="J224" s="42">
        <f>IF(H224&lt;=0,0,MIN(H224+I224,Plan!$E$24+G224))</f>
        <v/>
      </c>
      <c r="K224" s="44">
        <f>MAX(0,H224+I224-J224)</f>
        <v/>
      </c>
      <c r="L224" s="45">
        <f>G224-IF(H224&lt;=0,0,MAX(0,J224-Plan!$E$24))</f>
        <v/>
      </c>
      <c r="M224" s="42">
        <f>P223</f>
        <v/>
      </c>
      <c r="N224" s="43">
        <f>IF(M224&gt;0,M224*Plan!$D$25/100/12,0)</f>
        <v/>
      </c>
      <c r="O224" s="42">
        <f>IF(M224&lt;=0,0,MIN(M224+N224,Plan!$E$25+L224))</f>
        <v/>
      </c>
      <c r="P224" s="44">
        <f>MAX(0,M224+N224-O224)</f>
        <v/>
      </c>
      <c r="Q224" s="45">
        <f>L224-IF(M224&lt;=0,0,MAX(0,O224-Plan!$E$25))</f>
        <v/>
      </c>
      <c r="R224" s="42">
        <f>U223</f>
        <v/>
      </c>
      <c r="S224" s="43">
        <f>IF(R224&gt;0,R224*Plan!$D$26/100/12,0)</f>
        <v/>
      </c>
      <c r="T224" s="42">
        <f>IF(R224&lt;=0,0,MIN(R224+S224,Plan!$E$26+Q224))</f>
        <v/>
      </c>
      <c r="U224" s="44">
        <f>MAX(0,R224+S224-T224)</f>
        <v/>
      </c>
      <c r="V224" s="45">
        <f>Q224-IF(R224&lt;=0,0,MAX(0,T224-Plan!$E$26))</f>
        <v/>
      </c>
      <c r="W224" s="42">
        <f>Z223</f>
        <v/>
      </c>
      <c r="X224" s="43">
        <f>IF(W224&gt;0,W224*Plan!$D$27/100/12,0)</f>
        <v/>
      </c>
      <c r="Y224" s="42">
        <f>IF(W224&lt;=0,0,MIN(W224+X224,Plan!$E$27+V224))</f>
        <v/>
      </c>
      <c r="Z224" s="44">
        <f>MAX(0,W224+X224-Y224)</f>
        <v/>
      </c>
      <c r="AA224" s="45">
        <f>V224-IF(W224&lt;=0,0,MAX(0,Y224-Plan!$E$27))</f>
        <v/>
      </c>
      <c r="AB224" s="42">
        <f>AE223</f>
        <v/>
      </c>
      <c r="AC224" s="43">
        <f>IF(AB224&gt;0,AB224*Plan!$D$28/100/12,0)</f>
        <v/>
      </c>
      <c r="AD224" s="42">
        <f>IF(AB224&lt;=0,0,MIN(AB224+AC224,Plan!$E$28+AA224))</f>
        <v/>
      </c>
      <c r="AE224" s="44">
        <f>MAX(0,AB224+AC224-AD224)</f>
        <v/>
      </c>
      <c r="AF224" s="45">
        <f>AA224-IF(AB224&lt;=0,0,MAX(0,AD224-Plan!$E$28))</f>
        <v/>
      </c>
      <c r="AG224" s="44">
        <f>F224+K224+P224+U224+Z224+AE224</f>
        <v/>
      </c>
    </row>
    <row r="225">
      <c r="A225" s="46" t="n">
        <v>218</v>
      </c>
      <c r="B225" s="47">
        <f>EDATE(Plan!$C$18,217)</f>
        <v/>
      </c>
      <c r="C225" s="48">
        <f>F224</f>
        <v/>
      </c>
      <c r="D225" s="49">
        <f>IF(C225&gt;0,C225*Plan!$D$23/100/12,0)</f>
        <v/>
      </c>
      <c r="E225" s="48">
        <f>IF(C225&lt;=0,0,MIN(C225+D225,Plan!$E$23+(Plan!$C$17+IF(C225&lt;=0,Plan!$E$23,MAX(0,Plan!$E$23-(C225+D225)))+IF(H225&lt;=0,Plan!$E$24,MAX(0,Plan!$E$24-(H225+I225)))+IF(M225&lt;=0,Plan!$E$25,MAX(0,Plan!$E$25-(M225+N225)))+IF(R225&lt;=0,Plan!$E$26,MAX(0,Plan!$E$26-(R225+S225)))+IF(W225&lt;=0,Plan!$E$27,MAX(0,Plan!$E$27-(W225+X225)))+IF(AB225&lt;=0,Plan!$E$28,MAX(0,Plan!$E$28-(AB225+AC225))))))</f>
        <v/>
      </c>
      <c r="F225" s="50">
        <f>MAX(0,C225+D225-E225)</f>
        <v/>
      </c>
      <c r="G225" s="51">
        <f>(Plan!$C$17+IF(C225&lt;=0,Plan!$E$23,MAX(0,Plan!$E$23-(C225+D225)))+IF(H225&lt;=0,Plan!$E$24,MAX(0,Plan!$E$24-(H225+I225)))+IF(M225&lt;=0,Plan!$E$25,MAX(0,Plan!$E$25-(M225+N225)))+IF(R225&lt;=0,Plan!$E$26,MAX(0,Plan!$E$26-(R225+S225)))+IF(W225&lt;=0,Plan!$E$27,MAX(0,Plan!$E$27-(W225+X225)))+IF(AB225&lt;=0,Plan!$E$28,MAX(0,Plan!$E$28-(AB225+AC225))))-IF(C225&lt;=0,0,MAX(0,E225-Plan!$E$23))</f>
        <v/>
      </c>
      <c r="H225" s="48">
        <f>K224</f>
        <v/>
      </c>
      <c r="I225" s="49">
        <f>IF(H225&gt;0,H225*Plan!$D$24/100/12,0)</f>
        <v/>
      </c>
      <c r="J225" s="48">
        <f>IF(H225&lt;=0,0,MIN(H225+I225,Plan!$E$24+G225))</f>
        <v/>
      </c>
      <c r="K225" s="50">
        <f>MAX(0,H225+I225-J225)</f>
        <v/>
      </c>
      <c r="L225" s="51">
        <f>G225-IF(H225&lt;=0,0,MAX(0,J225-Plan!$E$24))</f>
        <v/>
      </c>
      <c r="M225" s="48">
        <f>P224</f>
        <v/>
      </c>
      <c r="N225" s="49">
        <f>IF(M225&gt;0,M225*Plan!$D$25/100/12,0)</f>
        <v/>
      </c>
      <c r="O225" s="48">
        <f>IF(M225&lt;=0,0,MIN(M225+N225,Plan!$E$25+L225))</f>
        <v/>
      </c>
      <c r="P225" s="50">
        <f>MAX(0,M225+N225-O225)</f>
        <v/>
      </c>
      <c r="Q225" s="51">
        <f>L225-IF(M225&lt;=0,0,MAX(0,O225-Plan!$E$25))</f>
        <v/>
      </c>
      <c r="R225" s="48">
        <f>U224</f>
        <v/>
      </c>
      <c r="S225" s="49">
        <f>IF(R225&gt;0,R225*Plan!$D$26/100/12,0)</f>
        <v/>
      </c>
      <c r="T225" s="48">
        <f>IF(R225&lt;=0,0,MIN(R225+S225,Plan!$E$26+Q225))</f>
        <v/>
      </c>
      <c r="U225" s="50">
        <f>MAX(0,R225+S225-T225)</f>
        <v/>
      </c>
      <c r="V225" s="51">
        <f>Q225-IF(R225&lt;=0,0,MAX(0,T225-Plan!$E$26))</f>
        <v/>
      </c>
      <c r="W225" s="48">
        <f>Z224</f>
        <v/>
      </c>
      <c r="X225" s="49">
        <f>IF(W225&gt;0,W225*Plan!$D$27/100/12,0)</f>
        <v/>
      </c>
      <c r="Y225" s="48">
        <f>IF(W225&lt;=0,0,MIN(W225+X225,Plan!$E$27+V225))</f>
        <v/>
      </c>
      <c r="Z225" s="50">
        <f>MAX(0,W225+X225-Y225)</f>
        <v/>
      </c>
      <c r="AA225" s="51">
        <f>V225-IF(W225&lt;=0,0,MAX(0,Y225-Plan!$E$27))</f>
        <v/>
      </c>
      <c r="AB225" s="48">
        <f>AE224</f>
        <v/>
      </c>
      <c r="AC225" s="49">
        <f>IF(AB225&gt;0,AB225*Plan!$D$28/100/12,0)</f>
        <v/>
      </c>
      <c r="AD225" s="48">
        <f>IF(AB225&lt;=0,0,MIN(AB225+AC225,Plan!$E$28+AA225))</f>
        <v/>
      </c>
      <c r="AE225" s="50">
        <f>MAX(0,AB225+AC225-AD225)</f>
        <v/>
      </c>
      <c r="AF225" s="51">
        <f>AA225-IF(AB225&lt;=0,0,MAX(0,AD225-Plan!$E$28))</f>
        <v/>
      </c>
      <c r="AG225" s="50">
        <f>F225+K225+P225+U225+Z225+AE225</f>
        <v/>
      </c>
    </row>
    <row r="226">
      <c r="A226" s="40" t="n">
        <v>219</v>
      </c>
      <c r="B226" s="41">
        <f>EDATE(Plan!$C$18,218)</f>
        <v/>
      </c>
      <c r="C226" s="42">
        <f>F225</f>
        <v/>
      </c>
      <c r="D226" s="43">
        <f>IF(C226&gt;0,C226*Plan!$D$23/100/12,0)</f>
        <v/>
      </c>
      <c r="E226" s="42">
        <f>IF(C226&lt;=0,0,MIN(C226+D226,Plan!$E$23+(Plan!$C$17+IF(C226&lt;=0,Plan!$E$23,MAX(0,Plan!$E$23-(C226+D226)))+IF(H226&lt;=0,Plan!$E$24,MAX(0,Plan!$E$24-(H226+I226)))+IF(M226&lt;=0,Plan!$E$25,MAX(0,Plan!$E$25-(M226+N226)))+IF(R226&lt;=0,Plan!$E$26,MAX(0,Plan!$E$26-(R226+S226)))+IF(W226&lt;=0,Plan!$E$27,MAX(0,Plan!$E$27-(W226+X226)))+IF(AB226&lt;=0,Plan!$E$28,MAX(0,Plan!$E$28-(AB226+AC226))))))</f>
        <v/>
      </c>
      <c r="F226" s="44">
        <f>MAX(0,C226+D226-E226)</f>
        <v/>
      </c>
      <c r="G226" s="45">
        <f>(Plan!$C$17+IF(C226&lt;=0,Plan!$E$23,MAX(0,Plan!$E$23-(C226+D226)))+IF(H226&lt;=0,Plan!$E$24,MAX(0,Plan!$E$24-(H226+I226)))+IF(M226&lt;=0,Plan!$E$25,MAX(0,Plan!$E$25-(M226+N226)))+IF(R226&lt;=0,Plan!$E$26,MAX(0,Plan!$E$26-(R226+S226)))+IF(W226&lt;=0,Plan!$E$27,MAX(0,Plan!$E$27-(W226+X226)))+IF(AB226&lt;=0,Plan!$E$28,MAX(0,Plan!$E$28-(AB226+AC226))))-IF(C226&lt;=0,0,MAX(0,E226-Plan!$E$23))</f>
        <v/>
      </c>
      <c r="H226" s="42">
        <f>K225</f>
        <v/>
      </c>
      <c r="I226" s="43">
        <f>IF(H226&gt;0,H226*Plan!$D$24/100/12,0)</f>
        <v/>
      </c>
      <c r="J226" s="42">
        <f>IF(H226&lt;=0,0,MIN(H226+I226,Plan!$E$24+G226))</f>
        <v/>
      </c>
      <c r="K226" s="44">
        <f>MAX(0,H226+I226-J226)</f>
        <v/>
      </c>
      <c r="L226" s="45">
        <f>G226-IF(H226&lt;=0,0,MAX(0,J226-Plan!$E$24))</f>
        <v/>
      </c>
      <c r="M226" s="42">
        <f>P225</f>
        <v/>
      </c>
      <c r="N226" s="43">
        <f>IF(M226&gt;0,M226*Plan!$D$25/100/12,0)</f>
        <v/>
      </c>
      <c r="O226" s="42">
        <f>IF(M226&lt;=0,0,MIN(M226+N226,Plan!$E$25+L226))</f>
        <v/>
      </c>
      <c r="P226" s="44">
        <f>MAX(0,M226+N226-O226)</f>
        <v/>
      </c>
      <c r="Q226" s="45">
        <f>L226-IF(M226&lt;=0,0,MAX(0,O226-Plan!$E$25))</f>
        <v/>
      </c>
      <c r="R226" s="42">
        <f>U225</f>
        <v/>
      </c>
      <c r="S226" s="43">
        <f>IF(R226&gt;0,R226*Plan!$D$26/100/12,0)</f>
        <v/>
      </c>
      <c r="T226" s="42">
        <f>IF(R226&lt;=0,0,MIN(R226+S226,Plan!$E$26+Q226))</f>
        <v/>
      </c>
      <c r="U226" s="44">
        <f>MAX(0,R226+S226-T226)</f>
        <v/>
      </c>
      <c r="V226" s="45">
        <f>Q226-IF(R226&lt;=0,0,MAX(0,T226-Plan!$E$26))</f>
        <v/>
      </c>
      <c r="W226" s="42">
        <f>Z225</f>
        <v/>
      </c>
      <c r="X226" s="43">
        <f>IF(W226&gt;0,W226*Plan!$D$27/100/12,0)</f>
        <v/>
      </c>
      <c r="Y226" s="42">
        <f>IF(W226&lt;=0,0,MIN(W226+X226,Plan!$E$27+V226))</f>
        <v/>
      </c>
      <c r="Z226" s="44">
        <f>MAX(0,W226+X226-Y226)</f>
        <v/>
      </c>
      <c r="AA226" s="45">
        <f>V226-IF(W226&lt;=0,0,MAX(0,Y226-Plan!$E$27))</f>
        <v/>
      </c>
      <c r="AB226" s="42">
        <f>AE225</f>
        <v/>
      </c>
      <c r="AC226" s="43">
        <f>IF(AB226&gt;0,AB226*Plan!$D$28/100/12,0)</f>
        <v/>
      </c>
      <c r="AD226" s="42">
        <f>IF(AB226&lt;=0,0,MIN(AB226+AC226,Plan!$E$28+AA226))</f>
        <v/>
      </c>
      <c r="AE226" s="44">
        <f>MAX(0,AB226+AC226-AD226)</f>
        <v/>
      </c>
      <c r="AF226" s="45">
        <f>AA226-IF(AB226&lt;=0,0,MAX(0,AD226-Plan!$E$28))</f>
        <v/>
      </c>
      <c r="AG226" s="44">
        <f>F226+K226+P226+U226+Z226+AE226</f>
        <v/>
      </c>
    </row>
    <row r="227">
      <c r="A227" s="46" t="n">
        <v>220</v>
      </c>
      <c r="B227" s="47">
        <f>EDATE(Plan!$C$18,219)</f>
        <v/>
      </c>
      <c r="C227" s="48">
        <f>F226</f>
        <v/>
      </c>
      <c r="D227" s="49">
        <f>IF(C227&gt;0,C227*Plan!$D$23/100/12,0)</f>
        <v/>
      </c>
      <c r="E227" s="48">
        <f>IF(C227&lt;=0,0,MIN(C227+D227,Plan!$E$23+(Plan!$C$17+IF(C227&lt;=0,Plan!$E$23,MAX(0,Plan!$E$23-(C227+D227)))+IF(H227&lt;=0,Plan!$E$24,MAX(0,Plan!$E$24-(H227+I227)))+IF(M227&lt;=0,Plan!$E$25,MAX(0,Plan!$E$25-(M227+N227)))+IF(R227&lt;=0,Plan!$E$26,MAX(0,Plan!$E$26-(R227+S227)))+IF(W227&lt;=0,Plan!$E$27,MAX(0,Plan!$E$27-(W227+X227)))+IF(AB227&lt;=0,Plan!$E$28,MAX(0,Plan!$E$28-(AB227+AC227))))))</f>
        <v/>
      </c>
      <c r="F227" s="50">
        <f>MAX(0,C227+D227-E227)</f>
        <v/>
      </c>
      <c r="G227" s="51">
        <f>(Plan!$C$17+IF(C227&lt;=0,Plan!$E$23,MAX(0,Plan!$E$23-(C227+D227)))+IF(H227&lt;=0,Plan!$E$24,MAX(0,Plan!$E$24-(H227+I227)))+IF(M227&lt;=0,Plan!$E$25,MAX(0,Plan!$E$25-(M227+N227)))+IF(R227&lt;=0,Plan!$E$26,MAX(0,Plan!$E$26-(R227+S227)))+IF(W227&lt;=0,Plan!$E$27,MAX(0,Plan!$E$27-(W227+X227)))+IF(AB227&lt;=0,Plan!$E$28,MAX(0,Plan!$E$28-(AB227+AC227))))-IF(C227&lt;=0,0,MAX(0,E227-Plan!$E$23))</f>
        <v/>
      </c>
      <c r="H227" s="48">
        <f>K226</f>
        <v/>
      </c>
      <c r="I227" s="49">
        <f>IF(H227&gt;0,H227*Plan!$D$24/100/12,0)</f>
        <v/>
      </c>
      <c r="J227" s="48">
        <f>IF(H227&lt;=0,0,MIN(H227+I227,Plan!$E$24+G227))</f>
        <v/>
      </c>
      <c r="K227" s="50">
        <f>MAX(0,H227+I227-J227)</f>
        <v/>
      </c>
      <c r="L227" s="51">
        <f>G227-IF(H227&lt;=0,0,MAX(0,J227-Plan!$E$24))</f>
        <v/>
      </c>
      <c r="M227" s="48">
        <f>P226</f>
        <v/>
      </c>
      <c r="N227" s="49">
        <f>IF(M227&gt;0,M227*Plan!$D$25/100/12,0)</f>
        <v/>
      </c>
      <c r="O227" s="48">
        <f>IF(M227&lt;=0,0,MIN(M227+N227,Plan!$E$25+L227))</f>
        <v/>
      </c>
      <c r="P227" s="50">
        <f>MAX(0,M227+N227-O227)</f>
        <v/>
      </c>
      <c r="Q227" s="51">
        <f>L227-IF(M227&lt;=0,0,MAX(0,O227-Plan!$E$25))</f>
        <v/>
      </c>
      <c r="R227" s="48">
        <f>U226</f>
        <v/>
      </c>
      <c r="S227" s="49">
        <f>IF(R227&gt;0,R227*Plan!$D$26/100/12,0)</f>
        <v/>
      </c>
      <c r="T227" s="48">
        <f>IF(R227&lt;=0,0,MIN(R227+S227,Plan!$E$26+Q227))</f>
        <v/>
      </c>
      <c r="U227" s="50">
        <f>MAX(0,R227+S227-T227)</f>
        <v/>
      </c>
      <c r="V227" s="51">
        <f>Q227-IF(R227&lt;=0,0,MAX(0,T227-Plan!$E$26))</f>
        <v/>
      </c>
      <c r="W227" s="48">
        <f>Z226</f>
        <v/>
      </c>
      <c r="X227" s="49">
        <f>IF(W227&gt;0,W227*Plan!$D$27/100/12,0)</f>
        <v/>
      </c>
      <c r="Y227" s="48">
        <f>IF(W227&lt;=0,0,MIN(W227+X227,Plan!$E$27+V227))</f>
        <v/>
      </c>
      <c r="Z227" s="50">
        <f>MAX(0,W227+X227-Y227)</f>
        <v/>
      </c>
      <c r="AA227" s="51">
        <f>V227-IF(W227&lt;=0,0,MAX(0,Y227-Plan!$E$27))</f>
        <v/>
      </c>
      <c r="AB227" s="48">
        <f>AE226</f>
        <v/>
      </c>
      <c r="AC227" s="49">
        <f>IF(AB227&gt;0,AB227*Plan!$D$28/100/12,0)</f>
        <v/>
      </c>
      <c r="AD227" s="48">
        <f>IF(AB227&lt;=0,0,MIN(AB227+AC227,Plan!$E$28+AA227))</f>
        <v/>
      </c>
      <c r="AE227" s="50">
        <f>MAX(0,AB227+AC227-AD227)</f>
        <v/>
      </c>
      <c r="AF227" s="51">
        <f>AA227-IF(AB227&lt;=0,0,MAX(0,AD227-Plan!$E$28))</f>
        <v/>
      </c>
      <c r="AG227" s="50">
        <f>F227+K227+P227+U227+Z227+AE227</f>
        <v/>
      </c>
    </row>
    <row r="228">
      <c r="A228" s="40" t="n">
        <v>221</v>
      </c>
      <c r="B228" s="41">
        <f>EDATE(Plan!$C$18,220)</f>
        <v/>
      </c>
      <c r="C228" s="42">
        <f>F227</f>
        <v/>
      </c>
      <c r="D228" s="43">
        <f>IF(C228&gt;0,C228*Plan!$D$23/100/12,0)</f>
        <v/>
      </c>
      <c r="E228" s="42">
        <f>IF(C228&lt;=0,0,MIN(C228+D228,Plan!$E$23+(Plan!$C$17+IF(C228&lt;=0,Plan!$E$23,MAX(0,Plan!$E$23-(C228+D228)))+IF(H228&lt;=0,Plan!$E$24,MAX(0,Plan!$E$24-(H228+I228)))+IF(M228&lt;=0,Plan!$E$25,MAX(0,Plan!$E$25-(M228+N228)))+IF(R228&lt;=0,Plan!$E$26,MAX(0,Plan!$E$26-(R228+S228)))+IF(W228&lt;=0,Plan!$E$27,MAX(0,Plan!$E$27-(W228+X228)))+IF(AB228&lt;=0,Plan!$E$28,MAX(0,Plan!$E$28-(AB228+AC228))))))</f>
        <v/>
      </c>
      <c r="F228" s="44">
        <f>MAX(0,C228+D228-E228)</f>
        <v/>
      </c>
      <c r="G228" s="45">
        <f>(Plan!$C$17+IF(C228&lt;=0,Plan!$E$23,MAX(0,Plan!$E$23-(C228+D228)))+IF(H228&lt;=0,Plan!$E$24,MAX(0,Plan!$E$24-(H228+I228)))+IF(M228&lt;=0,Plan!$E$25,MAX(0,Plan!$E$25-(M228+N228)))+IF(R228&lt;=0,Plan!$E$26,MAX(0,Plan!$E$26-(R228+S228)))+IF(W228&lt;=0,Plan!$E$27,MAX(0,Plan!$E$27-(W228+X228)))+IF(AB228&lt;=0,Plan!$E$28,MAX(0,Plan!$E$28-(AB228+AC228))))-IF(C228&lt;=0,0,MAX(0,E228-Plan!$E$23))</f>
        <v/>
      </c>
      <c r="H228" s="42">
        <f>K227</f>
        <v/>
      </c>
      <c r="I228" s="43">
        <f>IF(H228&gt;0,H228*Plan!$D$24/100/12,0)</f>
        <v/>
      </c>
      <c r="J228" s="42">
        <f>IF(H228&lt;=0,0,MIN(H228+I228,Plan!$E$24+G228))</f>
        <v/>
      </c>
      <c r="K228" s="44">
        <f>MAX(0,H228+I228-J228)</f>
        <v/>
      </c>
      <c r="L228" s="45">
        <f>G228-IF(H228&lt;=0,0,MAX(0,J228-Plan!$E$24))</f>
        <v/>
      </c>
      <c r="M228" s="42">
        <f>P227</f>
        <v/>
      </c>
      <c r="N228" s="43">
        <f>IF(M228&gt;0,M228*Plan!$D$25/100/12,0)</f>
        <v/>
      </c>
      <c r="O228" s="42">
        <f>IF(M228&lt;=0,0,MIN(M228+N228,Plan!$E$25+L228))</f>
        <v/>
      </c>
      <c r="P228" s="44">
        <f>MAX(0,M228+N228-O228)</f>
        <v/>
      </c>
      <c r="Q228" s="45">
        <f>L228-IF(M228&lt;=0,0,MAX(0,O228-Plan!$E$25))</f>
        <v/>
      </c>
      <c r="R228" s="42">
        <f>U227</f>
        <v/>
      </c>
      <c r="S228" s="43">
        <f>IF(R228&gt;0,R228*Plan!$D$26/100/12,0)</f>
        <v/>
      </c>
      <c r="T228" s="42">
        <f>IF(R228&lt;=0,0,MIN(R228+S228,Plan!$E$26+Q228))</f>
        <v/>
      </c>
      <c r="U228" s="44">
        <f>MAX(0,R228+S228-T228)</f>
        <v/>
      </c>
      <c r="V228" s="45">
        <f>Q228-IF(R228&lt;=0,0,MAX(0,T228-Plan!$E$26))</f>
        <v/>
      </c>
      <c r="W228" s="42">
        <f>Z227</f>
        <v/>
      </c>
      <c r="X228" s="43">
        <f>IF(W228&gt;0,W228*Plan!$D$27/100/12,0)</f>
        <v/>
      </c>
      <c r="Y228" s="42">
        <f>IF(W228&lt;=0,0,MIN(W228+X228,Plan!$E$27+V228))</f>
        <v/>
      </c>
      <c r="Z228" s="44">
        <f>MAX(0,W228+X228-Y228)</f>
        <v/>
      </c>
      <c r="AA228" s="45">
        <f>V228-IF(W228&lt;=0,0,MAX(0,Y228-Plan!$E$27))</f>
        <v/>
      </c>
      <c r="AB228" s="42">
        <f>AE227</f>
        <v/>
      </c>
      <c r="AC228" s="43">
        <f>IF(AB228&gt;0,AB228*Plan!$D$28/100/12,0)</f>
        <v/>
      </c>
      <c r="AD228" s="42">
        <f>IF(AB228&lt;=0,0,MIN(AB228+AC228,Plan!$E$28+AA228))</f>
        <v/>
      </c>
      <c r="AE228" s="44">
        <f>MAX(0,AB228+AC228-AD228)</f>
        <v/>
      </c>
      <c r="AF228" s="45">
        <f>AA228-IF(AB228&lt;=0,0,MAX(0,AD228-Plan!$E$28))</f>
        <v/>
      </c>
      <c r="AG228" s="44">
        <f>F228+K228+P228+U228+Z228+AE228</f>
        <v/>
      </c>
    </row>
    <row r="229">
      <c r="A229" s="46" t="n">
        <v>222</v>
      </c>
      <c r="B229" s="47">
        <f>EDATE(Plan!$C$18,221)</f>
        <v/>
      </c>
      <c r="C229" s="48">
        <f>F228</f>
        <v/>
      </c>
      <c r="D229" s="49">
        <f>IF(C229&gt;0,C229*Plan!$D$23/100/12,0)</f>
        <v/>
      </c>
      <c r="E229" s="48">
        <f>IF(C229&lt;=0,0,MIN(C229+D229,Plan!$E$23+(Plan!$C$17+IF(C229&lt;=0,Plan!$E$23,MAX(0,Plan!$E$23-(C229+D229)))+IF(H229&lt;=0,Plan!$E$24,MAX(0,Plan!$E$24-(H229+I229)))+IF(M229&lt;=0,Plan!$E$25,MAX(0,Plan!$E$25-(M229+N229)))+IF(R229&lt;=0,Plan!$E$26,MAX(0,Plan!$E$26-(R229+S229)))+IF(W229&lt;=0,Plan!$E$27,MAX(0,Plan!$E$27-(W229+X229)))+IF(AB229&lt;=0,Plan!$E$28,MAX(0,Plan!$E$28-(AB229+AC229))))))</f>
        <v/>
      </c>
      <c r="F229" s="50">
        <f>MAX(0,C229+D229-E229)</f>
        <v/>
      </c>
      <c r="G229" s="51">
        <f>(Plan!$C$17+IF(C229&lt;=0,Plan!$E$23,MAX(0,Plan!$E$23-(C229+D229)))+IF(H229&lt;=0,Plan!$E$24,MAX(0,Plan!$E$24-(H229+I229)))+IF(M229&lt;=0,Plan!$E$25,MAX(0,Plan!$E$25-(M229+N229)))+IF(R229&lt;=0,Plan!$E$26,MAX(0,Plan!$E$26-(R229+S229)))+IF(W229&lt;=0,Plan!$E$27,MAX(0,Plan!$E$27-(W229+X229)))+IF(AB229&lt;=0,Plan!$E$28,MAX(0,Plan!$E$28-(AB229+AC229))))-IF(C229&lt;=0,0,MAX(0,E229-Plan!$E$23))</f>
        <v/>
      </c>
      <c r="H229" s="48">
        <f>K228</f>
        <v/>
      </c>
      <c r="I229" s="49">
        <f>IF(H229&gt;0,H229*Plan!$D$24/100/12,0)</f>
        <v/>
      </c>
      <c r="J229" s="48">
        <f>IF(H229&lt;=0,0,MIN(H229+I229,Plan!$E$24+G229))</f>
        <v/>
      </c>
      <c r="K229" s="50">
        <f>MAX(0,H229+I229-J229)</f>
        <v/>
      </c>
      <c r="L229" s="51">
        <f>G229-IF(H229&lt;=0,0,MAX(0,J229-Plan!$E$24))</f>
        <v/>
      </c>
      <c r="M229" s="48">
        <f>P228</f>
        <v/>
      </c>
      <c r="N229" s="49">
        <f>IF(M229&gt;0,M229*Plan!$D$25/100/12,0)</f>
        <v/>
      </c>
      <c r="O229" s="48">
        <f>IF(M229&lt;=0,0,MIN(M229+N229,Plan!$E$25+L229))</f>
        <v/>
      </c>
      <c r="P229" s="50">
        <f>MAX(0,M229+N229-O229)</f>
        <v/>
      </c>
      <c r="Q229" s="51">
        <f>L229-IF(M229&lt;=0,0,MAX(0,O229-Plan!$E$25))</f>
        <v/>
      </c>
      <c r="R229" s="48">
        <f>U228</f>
        <v/>
      </c>
      <c r="S229" s="49">
        <f>IF(R229&gt;0,R229*Plan!$D$26/100/12,0)</f>
        <v/>
      </c>
      <c r="T229" s="48">
        <f>IF(R229&lt;=0,0,MIN(R229+S229,Plan!$E$26+Q229))</f>
        <v/>
      </c>
      <c r="U229" s="50">
        <f>MAX(0,R229+S229-T229)</f>
        <v/>
      </c>
      <c r="V229" s="51">
        <f>Q229-IF(R229&lt;=0,0,MAX(0,T229-Plan!$E$26))</f>
        <v/>
      </c>
      <c r="W229" s="48">
        <f>Z228</f>
        <v/>
      </c>
      <c r="X229" s="49">
        <f>IF(W229&gt;0,W229*Plan!$D$27/100/12,0)</f>
        <v/>
      </c>
      <c r="Y229" s="48">
        <f>IF(W229&lt;=0,0,MIN(W229+X229,Plan!$E$27+V229))</f>
        <v/>
      </c>
      <c r="Z229" s="50">
        <f>MAX(0,W229+X229-Y229)</f>
        <v/>
      </c>
      <c r="AA229" s="51">
        <f>V229-IF(W229&lt;=0,0,MAX(0,Y229-Plan!$E$27))</f>
        <v/>
      </c>
      <c r="AB229" s="48">
        <f>AE228</f>
        <v/>
      </c>
      <c r="AC229" s="49">
        <f>IF(AB229&gt;0,AB229*Plan!$D$28/100/12,0)</f>
        <v/>
      </c>
      <c r="AD229" s="48">
        <f>IF(AB229&lt;=0,0,MIN(AB229+AC229,Plan!$E$28+AA229))</f>
        <v/>
      </c>
      <c r="AE229" s="50">
        <f>MAX(0,AB229+AC229-AD229)</f>
        <v/>
      </c>
      <c r="AF229" s="51">
        <f>AA229-IF(AB229&lt;=0,0,MAX(0,AD229-Plan!$E$28))</f>
        <v/>
      </c>
      <c r="AG229" s="50">
        <f>F229+K229+P229+U229+Z229+AE229</f>
        <v/>
      </c>
    </row>
    <row r="230">
      <c r="A230" s="40" t="n">
        <v>223</v>
      </c>
      <c r="B230" s="41">
        <f>EDATE(Plan!$C$18,222)</f>
        <v/>
      </c>
      <c r="C230" s="42">
        <f>F229</f>
        <v/>
      </c>
      <c r="D230" s="43">
        <f>IF(C230&gt;0,C230*Plan!$D$23/100/12,0)</f>
        <v/>
      </c>
      <c r="E230" s="42">
        <f>IF(C230&lt;=0,0,MIN(C230+D230,Plan!$E$23+(Plan!$C$17+IF(C230&lt;=0,Plan!$E$23,MAX(0,Plan!$E$23-(C230+D230)))+IF(H230&lt;=0,Plan!$E$24,MAX(0,Plan!$E$24-(H230+I230)))+IF(M230&lt;=0,Plan!$E$25,MAX(0,Plan!$E$25-(M230+N230)))+IF(R230&lt;=0,Plan!$E$26,MAX(0,Plan!$E$26-(R230+S230)))+IF(W230&lt;=0,Plan!$E$27,MAX(0,Plan!$E$27-(W230+X230)))+IF(AB230&lt;=0,Plan!$E$28,MAX(0,Plan!$E$28-(AB230+AC230))))))</f>
        <v/>
      </c>
      <c r="F230" s="44">
        <f>MAX(0,C230+D230-E230)</f>
        <v/>
      </c>
      <c r="G230" s="45">
        <f>(Plan!$C$17+IF(C230&lt;=0,Plan!$E$23,MAX(0,Plan!$E$23-(C230+D230)))+IF(H230&lt;=0,Plan!$E$24,MAX(0,Plan!$E$24-(H230+I230)))+IF(M230&lt;=0,Plan!$E$25,MAX(0,Plan!$E$25-(M230+N230)))+IF(R230&lt;=0,Plan!$E$26,MAX(0,Plan!$E$26-(R230+S230)))+IF(W230&lt;=0,Plan!$E$27,MAX(0,Plan!$E$27-(W230+X230)))+IF(AB230&lt;=0,Plan!$E$28,MAX(0,Plan!$E$28-(AB230+AC230))))-IF(C230&lt;=0,0,MAX(0,E230-Plan!$E$23))</f>
        <v/>
      </c>
      <c r="H230" s="42">
        <f>K229</f>
        <v/>
      </c>
      <c r="I230" s="43">
        <f>IF(H230&gt;0,H230*Plan!$D$24/100/12,0)</f>
        <v/>
      </c>
      <c r="J230" s="42">
        <f>IF(H230&lt;=0,0,MIN(H230+I230,Plan!$E$24+G230))</f>
        <v/>
      </c>
      <c r="K230" s="44">
        <f>MAX(0,H230+I230-J230)</f>
        <v/>
      </c>
      <c r="L230" s="45">
        <f>G230-IF(H230&lt;=0,0,MAX(0,J230-Plan!$E$24))</f>
        <v/>
      </c>
      <c r="M230" s="42">
        <f>P229</f>
        <v/>
      </c>
      <c r="N230" s="43">
        <f>IF(M230&gt;0,M230*Plan!$D$25/100/12,0)</f>
        <v/>
      </c>
      <c r="O230" s="42">
        <f>IF(M230&lt;=0,0,MIN(M230+N230,Plan!$E$25+L230))</f>
        <v/>
      </c>
      <c r="P230" s="44">
        <f>MAX(0,M230+N230-O230)</f>
        <v/>
      </c>
      <c r="Q230" s="45">
        <f>L230-IF(M230&lt;=0,0,MAX(0,O230-Plan!$E$25))</f>
        <v/>
      </c>
      <c r="R230" s="42">
        <f>U229</f>
        <v/>
      </c>
      <c r="S230" s="43">
        <f>IF(R230&gt;0,R230*Plan!$D$26/100/12,0)</f>
        <v/>
      </c>
      <c r="T230" s="42">
        <f>IF(R230&lt;=0,0,MIN(R230+S230,Plan!$E$26+Q230))</f>
        <v/>
      </c>
      <c r="U230" s="44">
        <f>MAX(0,R230+S230-T230)</f>
        <v/>
      </c>
      <c r="V230" s="45">
        <f>Q230-IF(R230&lt;=0,0,MAX(0,T230-Plan!$E$26))</f>
        <v/>
      </c>
      <c r="W230" s="42">
        <f>Z229</f>
        <v/>
      </c>
      <c r="X230" s="43">
        <f>IF(W230&gt;0,W230*Plan!$D$27/100/12,0)</f>
        <v/>
      </c>
      <c r="Y230" s="42">
        <f>IF(W230&lt;=0,0,MIN(W230+X230,Plan!$E$27+V230))</f>
        <v/>
      </c>
      <c r="Z230" s="44">
        <f>MAX(0,W230+X230-Y230)</f>
        <v/>
      </c>
      <c r="AA230" s="45">
        <f>V230-IF(W230&lt;=0,0,MAX(0,Y230-Plan!$E$27))</f>
        <v/>
      </c>
      <c r="AB230" s="42">
        <f>AE229</f>
        <v/>
      </c>
      <c r="AC230" s="43">
        <f>IF(AB230&gt;0,AB230*Plan!$D$28/100/12,0)</f>
        <v/>
      </c>
      <c r="AD230" s="42">
        <f>IF(AB230&lt;=0,0,MIN(AB230+AC230,Plan!$E$28+AA230))</f>
        <v/>
      </c>
      <c r="AE230" s="44">
        <f>MAX(0,AB230+AC230-AD230)</f>
        <v/>
      </c>
      <c r="AF230" s="45">
        <f>AA230-IF(AB230&lt;=0,0,MAX(0,AD230-Plan!$E$28))</f>
        <v/>
      </c>
      <c r="AG230" s="44">
        <f>F230+K230+P230+U230+Z230+AE230</f>
        <v/>
      </c>
    </row>
    <row r="231">
      <c r="A231" s="46" t="n">
        <v>224</v>
      </c>
      <c r="B231" s="47">
        <f>EDATE(Plan!$C$18,223)</f>
        <v/>
      </c>
      <c r="C231" s="48">
        <f>F230</f>
        <v/>
      </c>
      <c r="D231" s="49">
        <f>IF(C231&gt;0,C231*Plan!$D$23/100/12,0)</f>
        <v/>
      </c>
      <c r="E231" s="48">
        <f>IF(C231&lt;=0,0,MIN(C231+D231,Plan!$E$23+(Plan!$C$17+IF(C231&lt;=0,Plan!$E$23,MAX(0,Plan!$E$23-(C231+D231)))+IF(H231&lt;=0,Plan!$E$24,MAX(0,Plan!$E$24-(H231+I231)))+IF(M231&lt;=0,Plan!$E$25,MAX(0,Plan!$E$25-(M231+N231)))+IF(R231&lt;=0,Plan!$E$26,MAX(0,Plan!$E$26-(R231+S231)))+IF(W231&lt;=0,Plan!$E$27,MAX(0,Plan!$E$27-(W231+X231)))+IF(AB231&lt;=0,Plan!$E$28,MAX(0,Plan!$E$28-(AB231+AC231))))))</f>
        <v/>
      </c>
      <c r="F231" s="50">
        <f>MAX(0,C231+D231-E231)</f>
        <v/>
      </c>
      <c r="G231" s="51">
        <f>(Plan!$C$17+IF(C231&lt;=0,Plan!$E$23,MAX(0,Plan!$E$23-(C231+D231)))+IF(H231&lt;=0,Plan!$E$24,MAX(0,Plan!$E$24-(H231+I231)))+IF(M231&lt;=0,Plan!$E$25,MAX(0,Plan!$E$25-(M231+N231)))+IF(R231&lt;=0,Plan!$E$26,MAX(0,Plan!$E$26-(R231+S231)))+IF(W231&lt;=0,Plan!$E$27,MAX(0,Plan!$E$27-(W231+X231)))+IF(AB231&lt;=0,Plan!$E$28,MAX(0,Plan!$E$28-(AB231+AC231))))-IF(C231&lt;=0,0,MAX(0,E231-Plan!$E$23))</f>
        <v/>
      </c>
      <c r="H231" s="48">
        <f>K230</f>
        <v/>
      </c>
      <c r="I231" s="49">
        <f>IF(H231&gt;0,H231*Plan!$D$24/100/12,0)</f>
        <v/>
      </c>
      <c r="J231" s="48">
        <f>IF(H231&lt;=0,0,MIN(H231+I231,Plan!$E$24+G231))</f>
        <v/>
      </c>
      <c r="K231" s="50">
        <f>MAX(0,H231+I231-J231)</f>
        <v/>
      </c>
      <c r="L231" s="51">
        <f>G231-IF(H231&lt;=0,0,MAX(0,J231-Plan!$E$24))</f>
        <v/>
      </c>
      <c r="M231" s="48">
        <f>P230</f>
        <v/>
      </c>
      <c r="N231" s="49">
        <f>IF(M231&gt;0,M231*Plan!$D$25/100/12,0)</f>
        <v/>
      </c>
      <c r="O231" s="48">
        <f>IF(M231&lt;=0,0,MIN(M231+N231,Plan!$E$25+L231))</f>
        <v/>
      </c>
      <c r="P231" s="50">
        <f>MAX(0,M231+N231-O231)</f>
        <v/>
      </c>
      <c r="Q231" s="51">
        <f>L231-IF(M231&lt;=0,0,MAX(0,O231-Plan!$E$25))</f>
        <v/>
      </c>
      <c r="R231" s="48">
        <f>U230</f>
        <v/>
      </c>
      <c r="S231" s="49">
        <f>IF(R231&gt;0,R231*Plan!$D$26/100/12,0)</f>
        <v/>
      </c>
      <c r="T231" s="48">
        <f>IF(R231&lt;=0,0,MIN(R231+S231,Plan!$E$26+Q231))</f>
        <v/>
      </c>
      <c r="U231" s="50">
        <f>MAX(0,R231+S231-T231)</f>
        <v/>
      </c>
      <c r="V231" s="51">
        <f>Q231-IF(R231&lt;=0,0,MAX(0,T231-Plan!$E$26))</f>
        <v/>
      </c>
      <c r="W231" s="48">
        <f>Z230</f>
        <v/>
      </c>
      <c r="X231" s="49">
        <f>IF(W231&gt;0,W231*Plan!$D$27/100/12,0)</f>
        <v/>
      </c>
      <c r="Y231" s="48">
        <f>IF(W231&lt;=0,0,MIN(W231+X231,Plan!$E$27+V231))</f>
        <v/>
      </c>
      <c r="Z231" s="50">
        <f>MAX(0,W231+X231-Y231)</f>
        <v/>
      </c>
      <c r="AA231" s="51">
        <f>V231-IF(W231&lt;=0,0,MAX(0,Y231-Plan!$E$27))</f>
        <v/>
      </c>
      <c r="AB231" s="48">
        <f>AE230</f>
        <v/>
      </c>
      <c r="AC231" s="49">
        <f>IF(AB231&gt;0,AB231*Plan!$D$28/100/12,0)</f>
        <v/>
      </c>
      <c r="AD231" s="48">
        <f>IF(AB231&lt;=0,0,MIN(AB231+AC231,Plan!$E$28+AA231))</f>
        <v/>
      </c>
      <c r="AE231" s="50">
        <f>MAX(0,AB231+AC231-AD231)</f>
        <v/>
      </c>
      <c r="AF231" s="51">
        <f>AA231-IF(AB231&lt;=0,0,MAX(0,AD231-Plan!$E$28))</f>
        <v/>
      </c>
      <c r="AG231" s="50">
        <f>F231+K231+P231+U231+Z231+AE231</f>
        <v/>
      </c>
    </row>
    <row r="232">
      <c r="A232" s="40" t="n">
        <v>225</v>
      </c>
      <c r="B232" s="41">
        <f>EDATE(Plan!$C$18,224)</f>
        <v/>
      </c>
      <c r="C232" s="42">
        <f>F231</f>
        <v/>
      </c>
      <c r="D232" s="43">
        <f>IF(C232&gt;0,C232*Plan!$D$23/100/12,0)</f>
        <v/>
      </c>
      <c r="E232" s="42">
        <f>IF(C232&lt;=0,0,MIN(C232+D232,Plan!$E$23+(Plan!$C$17+IF(C232&lt;=0,Plan!$E$23,MAX(0,Plan!$E$23-(C232+D232)))+IF(H232&lt;=0,Plan!$E$24,MAX(0,Plan!$E$24-(H232+I232)))+IF(M232&lt;=0,Plan!$E$25,MAX(0,Plan!$E$25-(M232+N232)))+IF(R232&lt;=0,Plan!$E$26,MAX(0,Plan!$E$26-(R232+S232)))+IF(W232&lt;=0,Plan!$E$27,MAX(0,Plan!$E$27-(W232+X232)))+IF(AB232&lt;=0,Plan!$E$28,MAX(0,Plan!$E$28-(AB232+AC232))))))</f>
        <v/>
      </c>
      <c r="F232" s="44">
        <f>MAX(0,C232+D232-E232)</f>
        <v/>
      </c>
      <c r="G232" s="45">
        <f>(Plan!$C$17+IF(C232&lt;=0,Plan!$E$23,MAX(0,Plan!$E$23-(C232+D232)))+IF(H232&lt;=0,Plan!$E$24,MAX(0,Plan!$E$24-(H232+I232)))+IF(M232&lt;=0,Plan!$E$25,MAX(0,Plan!$E$25-(M232+N232)))+IF(R232&lt;=0,Plan!$E$26,MAX(0,Plan!$E$26-(R232+S232)))+IF(W232&lt;=0,Plan!$E$27,MAX(0,Plan!$E$27-(W232+X232)))+IF(AB232&lt;=0,Plan!$E$28,MAX(0,Plan!$E$28-(AB232+AC232))))-IF(C232&lt;=0,0,MAX(0,E232-Plan!$E$23))</f>
        <v/>
      </c>
      <c r="H232" s="42">
        <f>K231</f>
        <v/>
      </c>
      <c r="I232" s="43">
        <f>IF(H232&gt;0,H232*Plan!$D$24/100/12,0)</f>
        <v/>
      </c>
      <c r="J232" s="42">
        <f>IF(H232&lt;=0,0,MIN(H232+I232,Plan!$E$24+G232))</f>
        <v/>
      </c>
      <c r="K232" s="44">
        <f>MAX(0,H232+I232-J232)</f>
        <v/>
      </c>
      <c r="L232" s="45">
        <f>G232-IF(H232&lt;=0,0,MAX(0,J232-Plan!$E$24))</f>
        <v/>
      </c>
      <c r="M232" s="42">
        <f>P231</f>
        <v/>
      </c>
      <c r="N232" s="43">
        <f>IF(M232&gt;0,M232*Plan!$D$25/100/12,0)</f>
        <v/>
      </c>
      <c r="O232" s="42">
        <f>IF(M232&lt;=0,0,MIN(M232+N232,Plan!$E$25+L232))</f>
        <v/>
      </c>
      <c r="P232" s="44">
        <f>MAX(0,M232+N232-O232)</f>
        <v/>
      </c>
      <c r="Q232" s="45">
        <f>L232-IF(M232&lt;=0,0,MAX(0,O232-Plan!$E$25))</f>
        <v/>
      </c>
      <c r="R232" s="42">
        <f>U231</f>
        <v/>
      </c>
      <c r="S232" s="43">
        <f>IF(R232&gt;0,R232*Plan!$D$26/100/12,0)</f>
        <v/>
      </c>
      <c r="T232" s="42">
        <f>IF(R232&lt;=0,0,MIN(R232+S232,Plan!$E$26+Q232))</f>
        <v/>
      </c>
      <c r="U232" s="44">
        <f>MAX(0,R232+S232-T232)</f>
        <v/>
      </c>
      <c r="V232" s="45">
        <f>Q232-IF(R232&lt;=0,0,MAX(0,T232-Plan!$E$26))</f>
        <v/>
      </c>
      <c r="W232" s="42">
        <f>Z231</f>
        <v/>
      </c>
      <c r="X232" s="43">
        <f>IF(W232&gt;0,W232*Plan!$D$27/100/12,0)</f>
        <v/>
      </c>
      <c r="Y232" s="42">
        <f>IF(W232&lt;=0,0,MIN(W232+X232,Plan!$E$27+V232))</f>
        <v/>
      </c>
      <c r="Z232" s="44">
        <f>MAX(0,W232+X232-Y232)</f>
        <v/>
      </c>
      <c r="AA232" s="45">
        <f>V232-IF(W232&lt;=0,0,MAX(0,Y232-Plan!$E$27))</f>
        <v/>
      </c>
      <c r="AB232" s="42">
        <f>AE231</f>
        <v/>
      </c>
      <c r="AC232" s="43">
        <f>IF(AB232&gt;0,AB232*Plan!$D$28/100/12,0)</f>
        <v/>
      </c>
      <c r="AD232" s="42">
        <f>IF(AB232&lt;=0,0,MIN(AB232+AC232,Plan!$E$28+AA232))</f>
        <v/>
      </c>
      <c r="AE232" s="44">
        <f>MAX(0,AB232+AC232-AD232)</f>
        <v/>
      </c>
      <c r="AF232" s="45">
        <f>AA232-IF(AB232&lt;=0,0,MAX(0,AD232-Plan!$E$28))</f>
        <v/>
      </c>
      <c r="AG232" s="44">
        <f>F232+K232+P232+U232+Z232+AE232</f>
        <v/>
      </c>
    </row>
    <row r="233">
      <c r="A233" s="46" t="n">
        <v>226</v>
      </c>
      <c r="B233" s="47">
        <f>EDATE(Plan!$C$18,225)</f>
        <v/>
      </c>
      <c r="C233" s="48">
        <f>F232</f>
        <v/>
      </c>
      <c r="D233" s="49">
        <f>IF(C233&gt;0,C233*Plan!$D$23/100/12,0)</f>
        <v/>
      </c>
      <c r="E233" s="48">
        <f>IF(C233&lt;=0,0,MIN(C233+D233,Plan!$E$23+(Plan!$C$17+IF(C233&lt;=0,Plan!$E$23,MAX(0,Plan!$E$23-(C233+D233)))+IF(H233&lt;=0,Plan!$E$24,MAX(0,Plan!$E$24-(H233+I233)))+IF(M233&lt;=0,Plan!$E$25,MAX(0,Plan!$E$25-(M233+N233)))+IF(R233&lt;=0,Plan!$E$26,MAX(0,Plan!$E$26-(R233+S233)))+IF(W233&lt;=0,Plan!$E$27,MAX(0,Plan!$E$27-(W233+X233)))+IF(AB233&lt;=0,Plan!$E$28,MAX(0,Plan!$E$28-(AB233+AC233))))))</f>
        <v/>
      </c>
      <c r="F233" s="50">
        <f>MAX(0,C233+D233-E233)</f>
        <v/>
      </c>
      <c r="G233" s="51">
        <f>(Plan!$C$17+IF(C233&lt;=0,Plan!$E$23,MAX(0,Plan!$E$23-(C233+D233)))+IF(H233&lt;=0,Plan!$E$24,MAX(0,Plan!$E$24-(H233+I233)))+IF(M233&lt;=0,Plan!$E$25,MAX(0,Plan!$E$25-(M233+N233)))+IF(R233&lt;=0,Plan!$E$26,MAX(0,Plan!$E$26-(R233+S233)))+IF(W233&lt;=0,Plan!$E$27,MAX(0,Plan!$E$27-(W233+X233)))+IF(AB233&lt;=0,Plan!$E$28,MAX(0,Plan!$E$28-(AB233+AC233))))-IF(C233&lt;=0,0,MAX(0,E233-Plan!$E$23))</f>
        <v/>
      </c>
      <c r="H233" s="48">
        <f>K232</f>
        <v/>
      </c>
      <c r="I233" s="49">
        <f>IF(H233&gt;0,H233*Plan!$D$24/100/12,0)</f>
        <v/>
      </c>
      <c r="J233" s="48">
        <f>IF(H233&lt;=0,0,MIN(H233+I233,Plan!$E$24+G233))</f>
        <v/>
      </c>
      <c r="K233" s="50">
        <f>MAX(0,H233+I233-J233)</f>
        <v/>
      </c>
      <c r="L233" s="51">
        <f>G233-IF(H233&lt;=0,0,MAX(0,J233-Plan!$E$24))</f>
        <v/>
      </c>
      <c r="M233" s="48">
        <f>P232</f>
        <v/>
      </c>
      <c r="N233" s="49">
        <f>IF(M233&gt;0,M233*Plan!$D$25/100/12,0)</f>
        <v/>
      </c>
      <c r="O233" s="48">
        <f>IF(M233&lt;=0,0,MIN(M233+N233,Plan!$E$25+L233))</f>
        <v/>
      </c>
      <c r="P233" s="50">
        <f>MAX(0,M233+N233-O233)</f>
        <v/>
      </c>
      <c r="Q233" s="51">
        <f>L233-IF(M233&lt;=0,0,MAX(0,O233-Plan!$E$25))</f>
        <v/>
      </c>
      <c r="R233" s="48">
        <f>U232</f>
        <v/>
      </c>
      <c r="S233" s="49">
        <f>IF(R233&gt;0,R233*Plan!$D$26/100/12,0)</f>
        <v/>
      </c>
      <c r="T233" s="48">
        <f>IF(R233&lt;=0,0,MIN(R233+S233,Plan!$E$26+Q233))</f>
        <v/>
      </c>
      <c r="U233" s="50">
        <f>MAX(0,R233+S233-T233)</f>
        <v/>
      </c>
      <c r="V233" s="51">
        <f>Q233-IF(R233&lt;=0,0,MAX(0,T233-Plan!$E$26))</f>
        <v/>
      </c>
      <c r="W233" s="48">
        <f>Z232</f>
        <v/>
      </c>
      <c r="X233" s="49">
        <f>IF(W233&gt;0,W233*Plan!$D$27/100/12,0)</f>
        <v/>
      </c>
      <c r="Y233" s="48">
        <f>IF(W233&lt;=0,0,MIN(W233+X233,Plan!$E$27+V233))</f>
        <v/>
      </c>
      <c r="Z233" s="50">
        <f>MAX(0,W233+X233-Y233)</f>
        <v/>
      </c>
      <c r="AA233" s="51">
        <f>V233-IF(W233&lt;=0,0,MAX(0,Y233-Plan!$E$27))</f>
        <v/>
      </c>
      <c r="AB233" s="48">
        <f>AE232</f>
        <v/>
      </c>
      <c r="AC233" s="49">
        <f>IF(AB233&gt;0,AB233*Plan!$D$28/100/12,0)</f>
        <v/>
      </c>
      <c r="AD233" s="48">
        <f>IF(AB233&lt;=0,0,MIN(AB233+AC233,Plan!$E$28+AA233))</f>
        <v/>
      </c>
      <c r="AE233" s="50">
        <f>MAX(0,AB233+AC233-AD233)</f>
        <v/>
      </c>
      <c r="AF233" s="51">
        <f>AA233-IF(AB233&lt;=0,0,MAX(0,AD233-Plan!$E$28))</f>
        <v/>
      </c>
      <c r="AG233" s="50">
        <f>F233+K233+P233+U233+Z233+AE233</f>
        <v/>
      </c>
    </row>
    <row r="234">
      <c r="A234" s="40" t="n">
        <v>227</v>
      </c>
      <c r="B234" s="41">
        <f>EDATE(Plan!$C$18,226)</f>
        <v/>
      </c>
      <c r="C234" s="42">
        <f>F233</f>
        <v/>
      </c>
      <c r="D234" s="43">
        <f>IF(C234&gt;0,C234*Plan!$D$23/100/12,0)</f>
        <v/>
      </c>
      <c r="E234" s="42">
        <f>IF(C234&lt;=0,0,MIN(C234+D234,Plan!$E$23+(Plan!$C$17+IF(C234&lt;=0,Plan!$E$23,MAX(0,Plan!$E$23-(C234+D234)))+IF(H234&lt;=0,Plan!$E$24,MAX(0,Plan!$E$24-(H234+I234)))+IF(M234&lt;=0,Plan!$E$25,MAX(0,Plan!$E$25-(M234+N234)))+IF(R234&lt;=0,Plan!$E$26,MAX(0,Plan!$E$26-(R234+S234)))+IF(W234&lt;=0,Plan!$E$27,MAX(0,Plan!$E$27-(W234+X234)))+IF(AB234&lt;=0,Plan!$E$28,MAX(0,Plan!$E$28-(AB234+AC234))))))</f>
        <v/>
      </c>
      <c r="F234" s="44">
        <f>MAX(0,C234+D234-E234)</f>
        <v/>
      </c>
      <c r="G234" s="45">
        <f>(Plan!$C$17+IF(C234&lt;=0,Plan!$E$23,MAX(0,Plan!$E$23-(C234+D234)))+IF(H234&lt;=0,Plan!$E$24,MAX(0,Plan!$E$24-(H234+I234)))+IF(M234&lt;=0,Plan!$E$25,MAX(0,Plan!$E$25-(M234+N234)))+IF(R234&lt;=0,Plan!$E$26,MAX(0,Plan!$E$26-(R234+S234)))+IF(W234&lt;=0,Plan!$E$27,MAX(0,Plan!$E$27-(W234+X234)))+IF(AB234&lt;=0,Plan!$E$28,MAX(0,Plan!$E$28-(AB234+AC234))))-IF(C234&lt;=0,0,MAX(0,E234-Plan!$E$23))</f>
        <v/>
      </c>
      <c r="H234" s="42">
        <f>K233</f>
        <v/>
      </c>
      <c r="I234" s="43">
        <f>IF(H234&gt;0,H234*Plan!$D$24/100/12,0)</f>
        <v/>
      </c>
      <c r="J234" s="42">
        <f>IF(H234&lt;=0,0,MIN(H234+I234,Plan!$E$24+G234))</f>
        <v/>
      </c>
      <c r="K234" s="44">
        <f>MAX(0,H234+I234-J234)</f>
        <v/>
      </c>
      <c r="L234" s="45">
        <f>G234-IF(H234&lt;=0,0,MAX(0,J234-Plan!$E$24))</f>
        <v/>
      </c>
      <c r="M234" s="42">
        <f>P233</f>
        <v/>
      </c>
      <c r="N234" s="43">
        <f>IF(M234&gt;0,M234*Plan!$D$25/100/12,0)</f>
        <v/>
      </c>
      <c r="O234" s="42">
        <f>IF(M234&lt;=0,0,MIN(M234+N234,Plan!$E$25+L234))</f>
        <v/>
      </c>
      <c r="P234" s="44">
        <f>MAX(0,M234+N234-O234)</f>
        <v/>
      </c>
      <c r="Q234" s="45">
        <f>L234-IF(M234&lt;=0,0,MAX(0,O234-Plan!$E$25))</f>
        <v/>
      </c>
      <c r="R234" s="42">
        <f>U233</f>
        <v/>
      </c>
      <c r="S234" s="43">
        <f>IF(R234&gt;0,R234*Plan!$D$26/100/12,0)</f>
        <v/>
      </c>
      <c r="T234" s="42">
        <f>IF(R234&lt;=0,0,MIN(R234+S234,Plan!$E$26+Q234))</f>
        <v/>
      </c>
      <c r="U234" s="44">
        <f>MAX(0,R234+S234-T234)</f>
        <v/>
      </c>
      <c r="V234" s="45">
        <f>Q234-IF(R234&lt;=0,0,MAX(0,T234-Plan!$E$26))</f>
        <v/>
      </c>
      <c r="W234" s="42">
        <f>Z233</f>
        <v/>
      </c>
      <c r="X234" s="43">
        <f>IF(W234&gt;0,W234*Plan!$D$27/100/12,0)</f>
        <v/>
      </c>
      <c r="Y234" s="42">
        <f>IF(W234&lt;=0,0,MIN(W234+X234,Plan!$E$27+V234))</f>
        <v/>
      </c>
      <c r="Z234" s="44">
        <f>MAX(0,W234+X234-Y234)</f>
        <v/>
      </c>
      <c r="AA234" s="45">
        <f>V234-IF(W234&lt;=0,0,MAX(0,Y234-Plan!$E$27))</f>
        <v/>
      </c>
      <c r="AB234" s="42">
        <f>AE233</f>
        <v/>
      </c>
      <c r="AC234" s="43">
        <f>IF(AB234&gt;0,AB234*Plan!$D$28/100/12,0)</f>
        <v/>
      </c>
      <c r="AD234" s="42">
        <f>IF(AB234&lt;=0,0,MIN(AB234+AC234,Plan!$E$28+AA234))</f>
        <v/>
      </c>
      <c r="AE234" s="44">
        <f>MAX(0,AB234+AC234-AD234)</f>
        <v/>
      </c>
      <c r="AF234" s="45">
        <f>AA234-IF(AB234&lt;=0,0,MAX(0,AD234-Plan!$E$28))</f>
        <v/>
      </c>
      <c r="AG234" s="44">
        <f>F234+K234+P234+U234+Z234+AE234</f>
        <v/>
      </c>
    </row>
    <row r="235">
      <c r="A235" s="46" t="n">
        <v>228</v>
      </c>
      <c r="B235" s="47">
        <f>EDATE(Plan!$C$18,227)</f>
        <v/>
      </c>
      <c r="C235" s="48">
        <f>F234</f>
        <v/>
      </c>
      <c r="D235" s="49">
        <f>IF(C235&gt;0,C235*Plan!$D$23/100/12,0)</f>
        <v/>
      </c>
      <c r="E235" s="48">
        <f>IF(C235&lt;=0,0,MIN(C235+D235,Plan!$E$23+(Plan!$C$17+IF(C235&lt;=0,Plan!$E$23,MAX(0,Plan!$E$23-(C235+D235)))+IF(H235&lt;=0,Plan!$E$24,MAX(0,Plan!$E$24-(H235+I235)))+IF(M235&lt;=0,Plan!$E$25,MAX(0,Plan!$E$25-(M235+N235)))+IF(R235&lt;=0,Plan!$E$26,MAX(0,Plan!$E$26-(R235+S235)))+IF(W235&lt;=0,Plan!$E$27,MAX(0,Plan!$E$27-(W235+X235)))+IF(AB235&lt;=0,Plan!$E$28,MAX(0,Plan!$E$28-(AB235+AC235))))))</f>
        <v/>
      </c>
      <c r="F235" s="50">
        <f>MAX(0,C235+D235-E235)</f>
        <v/>
      </c>
      <c r="G235" s="51">
        <f>(Plan!$C$17+IF(C235&lt;=0,Plan!$E$23,MAX(0,Plan!$E$23-(C235+D235)))+IF(H235&lt;=0,Plan!$E$24,MAX(0,Plan!$E$24-(H235+I235)))+IF(M235&lt;=0,Plan!$E$25,MAX(0,Plan!$E$25-(M235+N235)))+IF(R235&lt;=0,Plan!$E$26,MAX(0,Plan!$E$26-(R235+S235)))+IF(W235&lt;=0,Plan!$E$27,MAX(0,Plan!$E$27-(W235+X235)))+IF(AB235&lt;=0,Plan!$E$28,MAX(0,Plan!$E$28-(AB235+AC235))))-IF(C235&lt;=0,0,MAX(0,E235-Plan!$E$23))</f>
        <v/>
      </c>
      <c r="H235" s="48">
        <f>K234</f>
        <v/>
      </c>
      <c r="I235" s="49">
        <f>IF(H235&gt;0,H235*Plan!$D$24/100/12,0)</f>
        <v/>
      </c>
      <c r="J235" s="48">
        <f>IF(H235&lt;=0,0,MIN(H235+I235,Plan!$E$24+G235))</f>
        <v/>
      </c>
      <c r="K235" s="50">
        <f>MAX(0,H235+I235-J235)</f>
        <v/>
      </c>
      <c r="L235" s="51">
        <f>G235-IF(H235&lt;=0,0,MAX(0,J235-Plan!$E$24))</f>
        <v/>
      </c>
      <c r="M235" s="48">
        <f>P234</f>
        <v/>
      </c>
      <c r="N235" s="49">
        <f>IF(M235&gt;0,M235*Plan!$D$25/100/12,0)</f>
        <v/>
      </c>
      <c r="O235" s="48">
        <f>IF(M235&lt;=0,0,MIN(M235+N235,Plan!$E$25+L235))</f>
        <v/>
      </c>
      <c r="P235" s="50">
        <f>MAX(0,M235+N235-O235)</f>
        <v/>
      </c>
      <c r="Q235" s="51">
        <f>L235-IF(M235&lt;=0,0,MAX(0,O235-Plan!$E$25))</f>
        <v/>
      </c>
      <c r="R235" s="48">
        <f>U234</f>
        <v/>
      </c>
      <c r="S235" s="49">
        <f>IF(R235&gt;0,R235*Plan!$D$26/100/12,0)</f>
        <v/>
      </c>
      <c r="T235" s="48">
        <f>IF(R235&lt;=0,0,MIN(R235+S235,Plan!$E$26+Q235))</f>
        <v/>
      </c>
      <c r="U235" s="50">
        <f>MAX(0,R235+S235-T235)</f>
        <v/>
      </c>
      <c r="V235" s="51">
        <f>Q235-IF(R235&lt;=0,0,MAX(0,T235-Plan!$E$26))</f>
        <v/>
      </c>
      <c r="W235" s="48">
        <f>Z234</f>
        <v/>
      </c>
      <c r="X235" s="49">
        <f>IF(W235&gt;0,W235*Plan!$D$27/100/12,0)</f>
        <v/>
      </c>
      <c r="Y235" s="48">
        <f>IF(W235&lt;=0,0,MIN(W235+X235,Plan!$E$27+V235))</f>
        <v/>
      </c>
      <c r="Z235" s="50">
        <f>MAX(0,W235+X235-Y235)</f>
        <v/>
      </c>
      <c r="AA235" s="51">
        <f>V235-IF(W235&lt;=0,0,MAX(0,Y235-Plan!$E$27))</f>
        <v/>
      </c>
      <c r="AB235" s="48">
        <f>AE234</f>
        <v/>
      </c>
      <c r="AC235" s="49">
        <f>IF(AB235&gt;0,AB235*Plan!$D$28/100/12,0)</f>
        <v/>
      </c>
      <c r="AD235" s="48">
        <f>IF(AB235&lt;=0,0,MIN(AB235+AC235,Plan!$E$28+AA235))</f>
        <v/>
      </c>
      <c r="AE235" s="50">
        <f>MAX(0,AB235+AC235-AD235)</f>
        <v/>
      </c>
      <c r="AF235" s="51">
        <f>AA235-IF(AB235&lt;=0,0,MAX(0,AD235-Plan!$E$28))</f>
        <v/>
      </c>
      <c r="AG235" s="50">
        <f>F235+K235+P235+U235+Z235+AE235</f>
        <v/>
      </c>
    </row>
    <row r="236">
      <c r="A236" s="40" t="n">
        <v>229</v>
      </c>
      <c r="B236" s="41">
        <f>EDATE(Plan!$C$18,228)</f>
        <v/>
      </c>
      <c r="C236" s="42">
        <f>F235</f>
        <v/>
      </c>
      <c r="D236" s="43">
        <f>IF(C236&gt;0,C236*Plan!$D$23/100/12,0)</f>
        <v/>
      </c>
      <c r="E236" s="42">
        <f>IF(C236&lt;=0,0,MIN(C236+D236,Plan!$E$23+(Plan!$C$17+IF(C236&lt;=0,Plan!$E$23,MAX(0,Plan!$E$23-(C236+D236)))+IF(H236&lt;=0,Plan!$E$24,MAX(0,Plan!$E$24-(H236+I236)))+IF(M236&lt;=0,Plan!$E$25,MAX(0,Plan!$E$25-(M236+N236)))+IF(R236&lt;=0,Plan!$E$26,MAX(0,Plan!$E$26-(R236+S236)))+IF(W236&lt;=0,Plan!$E$27,MAX(0,Plan!$E$27-(W236+X236)))+IF(AB236&lt;=0,Plan!$E$28,MAX(0,Plan!$E$28-(AB236+AC236))))))</f>
        <v/>
      </c>
      <c r="F236" s="44">
        <f>MAX(0,C236+D236-E236)</f>
        <v/>
      </c>
      <c r="G236" s="45">
        <f>(Plan!$C$17+IF(C236&lt;=0,Plan!$E$23,MAX(0,Plan!$E$23-(C236+D236)))+IF(H236&lt;=0,Plan!$E$24,MAX(0,Plan!$E$24-(H236+I236)))+IF(M236&lt;=0,Plan!$E$25,MAX(0,Plan!$E$25-(M236+N236)))+IF(R236&lt;=0,Plan!$E$26,MAX(0,Plan!$E$26-(R236+S236)))+IF(W236&lt;=0,Plan!$E$27,MAX(0,Plan!$E$27-(W236+X236)))+IF(AB236&lt;=0,Plan!$E$28,MAX(0,Plan!$E$28-(AB236+AC236))))-IF(C236&lt;=0,0,MAX(0,E236-Plan!$E$23))</f>
        <v/>
      </c>
      <c r="H236" s="42">
        <f>K235</f>
        <v/>
      </c>
      <c r="I236" s="43">
        <f>IF(H236&gt;0,H236*Plan!$D$24/100/12,0)</f>
        <v/>
      </c>
      <c r="J236" s="42">
        <f>IF(H236&lt;=0,0,MIN(H236+I236,Plan!$E$24+G236))</f>
        <v/>
      </c>
      <c r="K236" s="44">
        <f>MAX(0,H236+I236-J236)</f>
        <v/>
      </c>
      <c r="L236" s="45">
        <f>G236-IF(H236&lt;=0,0,MAX(0,J236-Plan!$E$24))</f>
        <v/>
      </c>
      <c r="M236" s="42">
        <f>P235</f>
        <v/>
      </c>
      <c r="N236" s="43">
        <f>IF(M236&gt;0,M236*Plan!$D$25/100/12,0)</f>
        <v/>
      </c>
      <c r="O236" s="42">
        <f>IF(M236&lt;=0,0,MIN(M236+N236,Plan!$E$25+L236))</f>
        <v/>
      </c>
      <c r="P236" s="44">
        <f>MAX(0,M236+N236-O236)</f>
        <v/>
      </c>
      <c r="Q236" s="45">
        <f>L236-IF(M236&lt;=0,0,MAX(0,O236-Plan!$E$25))</f>
        <v/>
      </c>
      <c r="R236" s="42">
        <f>U235</f>
        <v/>
      </c>
      <c r="S236" s="43">
        <f>IF(R236&gt;0,R236*Plan!$D$26/100/12,0)</f>
        <v/>
      </c>
      <c r="T236" s="42">
        <f>IF(R236&lt;=0,0,MIN(R236+S236,Plan!$E$26+Q236))</f>
        <v/>
      </c>
      <c r="U236" s="44">
        <f>MAX(0,R236+S236-T236)</f>
        <v/>
      </c>
      <c r="V236" s="45">
        <f>Q236-IF(R236&lt;=0,0,MAX(0,T236-Plan!$E$26))</f>
        <v/>
      </c>
      <c r="W236" s="42">
        <f>Z235</f>
        <v/>
      </c>
      <c r="X236" s="43">
        <f>IF(W236&gt;0,W236*Plan!$D$27/100/12,0)</f>
        <v/>
      </c>
      <c r="Y236" s="42">
        <f>IF(W236&lt;=0,0,MIN(W236+X236,Plan!$E$27+V236))</f>
        <v/>
      </c>
      <c r="Z236" s="44">
        <f>MAX(0,W236+X236-Y236)</f>
        <v/>
      </c>
      <c r="AA236" s="45">
        <f>V236-IF(W236&lt;=0,0,MAX(0,Y236-Plan!$E$27))</f>
        <v/>
      </c>
      <c r="AB236" s="42">
        <f>AE235</f>
        <v/>
      </c>
      <c r="AC236" s="43">
        <f>IF(AB236&gt;0,AB236*Plan!$D$28/100/12,0)</f>
        <v/>
      </c>
      <c r="AD236" s="42">
        <f>IF(AB236&lt;=0,0,MIN(AB236+AC236,Plan!$E$28+AA236))</f>
        <v/>
      </c>
      <c r="AE236" s="44">
        <f>MAX(0,AB236+AC236-AD236)</f>
        <v/>
      </c>
      <c r="AF236" s="45">
        <f>AA236-IF(AB236&lt;=0,0,MAX(0,AD236-Plan!$E$28))</f>
        <v/>
      </c>
      <c r="AG236" s="44">
        <f>F236+K236+P236+U236+Z236+AE236</f>
        <v/>
      </c>
    </row>
    <row r="237">
      <c r="A237" s="46" t="n">
        <v>230</v>
      </c>
      <c r="B237" s="47">
        <f>EDATE(Plan!$C$18,229)</f>
        <v/>
      </c>
      <c r="C237" s="48">
        <f>F236</f>
        <v/>
      </c>
      <c r="D237" s="49">
        <f>IF(C237&gt;0,C237*Plan!$D$23/100/12,0)</f>
        <v/>
      </c>
      <c r="E237" s="48">
        <f>IF(C237&lt;=0,0,MIN(C237+D237,Plan!$E$23+(Plan!$C$17+IF(C237&lt;=0,Plan!$E$23,MAX(0,Plan!$E$23-(C237+D237)))+IF(H237&lt;=0,Plan!$E$24,MAX(0,Plan!$E$24-(H237+I237)))+IF(M237&lt;=0,Plan!$E$25,MAX(0,Plan!$E$25-(M237+N237)))+IF(R237&lt;=0,Plan!$E$26,MAX(0,Plan!$E$26-(R237+S237)))+IF(W237&lt;=0,Plan!$E$27,MAX(0,Plan!$E$27-(W237+X237)))+IF(AB237&lt;=0,Plan!$E$28,MAX(0,Plan!$E$28-(AB237+AC237))))))</f>
        <v/>
      </c>
      <c r="F237" s="50">
        <f>MAX(0,C237+D237-E237)</f>
        <v/>
      </c>
      <c r="G237" s="51">
        <f>(Plan!$C$17+IF(C237&lt;=0,Plan!$E$23,MAX(0,Plan!$E$23-(C237+D237)))+IF(H237&lt;=0,Plan!$E$24,MAX(0,Plan!$E$24-(H237+I237)))+IF(M237&lt;=0,Plan!$E$25,MAX(0,Plan!$E$25-(M237+N237)))+IF(R237&lt;=0,Plan!$E$26,MAX(0,Plan!$E$26-(R237+S237)))+IF(W237&lt;=0,Plan!$E$27,MAX(0,Plan!$E$27-(W237+X237)))+IF(AB237&lt;=0,Plan!$E$28,MAX(0,Plan!$E$28-(AB237+AC237))))-IF(C237&lt;=0,0,MAX(0,E237-Plan!$E$23))</f>
        <v/>
      </c>
      <c r="H237" s="48">
        <f>K236</f>
        <v/>
      </c>
      <c r="I237" s="49">
        <f>IF(H237&gt;0,H237*Plan!$D$24/100/12,0)</f>
        <v/>
      </c>
      <c r="J237" s="48">
        <f>IF(H237&lt;=0,0,MIN(H237+I237,Plan!$E$24+G237))</f>
        <v/>
      </c>
      <c r="K237" s="50">
        <f>MAX(0,H237+I237-J237)</f>
        <v/>
      </c>
      <c r="L237" s="51">
        <f>G237-IF(H237&lt;=0,0,MAX(0,J237-Plan!$E$24))</f>
        <v/>
      </c>
      <c r="M237" s="48">
        <f>P236</f>
        <v/>
      </c>
      <c r="N237" s="49">
        <f>IF(M237&gt;0,M237*Plan!$D$25/100/12,0)</f>
        <v/>
      </c>
      <c r="O237" s="48">
        <f>IF(M237&lt;=0,0,MIN(M237+N237,Plan!$E$25+L237))</f>
        <v/>
      </c>
      <c r="P237" s="50">
        <f>MAX(0,M237+N237-O237)</f>
        <v/>
      </c>
      <c r="Q237" s="51">
        <f>L237-IF(M237&lt;=0,0,MAX(0,O237-Plan!$E$25))</f>
        <v/>
      </c>
      <c r="R237" s="48">
        <f>U236</f>
        <v/>
      </c>
      <c r="S237" s="49">
        <f>IF(R237&gt;0,R237*Plan!$D$26/100/12,0)</f>
        <v/>
      </c>
      <c r="T237" s="48">
        <f>IF(R237&lt;=0,0,MIN(R237+S237,Plan!$E$26+Q237))</f>
        <v/>
      </c>
      <c r="U237" s="50">
        <f>MAX(0,R237+S237-T237)</f>
        <v/>
      </c>
      <c r="V237" s="51">
        <f>Q237-IF(R237&lt;=0,0,MAX(0,T237-Plan!$E$26))</f>
        <v/>
      </c>
      <c r="W237" s="48">
        <f>Z236</f>
        <v/>
      </c>
      <c r="X237" s="49">
        <f>IF(W237&gt;0,W237*Plan!$D$27/100/12,0)</f>
        <v/>
      </c>
      <c r="Y237" s="48">
        <f>IF(W237&lt;=0,0,MIN(W237+X237,Plan!$E$27+V237))</f>
        <v/>
      </c>
      <c r="Z237" s="50">
        <f>MAX(0,W237+X237-Y237)</f>
        <v/>
      </c>
      <c r="AA237" s="51">
        <f>V237-IF(W237&lt;=0,0,MAX(0,Y237-Plan!$E$27))</f>
        <v/>
      </c>
      <c r="AB237" s="48">
        <f>AE236</f>
        <v/>
      </c>
      <c r="AC237" s="49">
        <f>IF(AB237&gt;0,AB237*Plan!$D$28/100/12,0)</f>
        <v/>
      </c>
      <c r="AD237" s="48">
        <f>IF(AB237&lt;=0,0,MIN(AB237+AC237,Plan!$E$28+AA237))</f>
        <v/>
      </c>
      <c r="AE237" s="50">
        <f>MAX(0,AB237+AC237-AD237)</f>
        <v/>
      </c>
      <c r="AF237" s="51">
        <f>AA237-IF(AB237&lt;=0,0,MAX(0,AD237-Plan!$E$28))</f>
        <v/>
      </c>
      <c r="AG237" s="50">
        <f>F237+K237+P237+U237+Z237+AE237</f>
        <v/>
      </c>
    </row>
    <row r="238">
      <c r="A238" s="40" t="n">
        <v>231</v>
      </c>
      <c r="B238" s="41">
        <f>EDATE(Plan!$C$18,230)</f>
        <v/>
      </c>
      <c r="C238" s="42">
        <f>F237</f>
        <v/>
      </c>
      <c r="D238" s="43">
        <f>IF(C238&gt;0,C238*Plan!$D$23/100/12,0)</f>
        <v/>
      </c>
      <c r="E238" s="42">
        <f>IF(C238&lt;=0,0,MIN(C238+D238,Plan!$E$23+(Plan!$C$17+IF(C238&lt;=0,Plan!$E$23,MAX(0,Plan!$E$23-(C238+D238)))+IF(H238&lt;=0,Plan!$E$24,MAX(0,Plan!$E$24-(H238+I238)))+IF(M238&lt;=0,Plan!$E$25,MAX(0,Plan!$E$25-(M238+N238)))+IF(R238&lt;=0,Plan!$E$26,MAX(0,Plan!$E$26-(R238+S238)))+IF(W238&lt;=0,Plan!$E$27,MAX(0,Plan!$E$27-(W238+X238)))+IF(AB238&lt;=0,Plan!$E$28,MAX(0,Plan!$E$28-(AB238+AC238))))))</f>
        <v/>
      </c>
      <c r="F238" s="44">
        <f>MAX(0,C238+D238-E238)</f>
        <v/>
      </c>
      <c r="G238" s="45">
        <f>(Plan!$C$17+IF(C238&lt;=0,Plan!$E$23,MAX(0,Plan!$E$23-(C238+D238)))+IF(H238&lt;=0,Plan!$E$24,MAX(0,Plan!$E$24-(H238+I238)))+IF(M238&lt;=0,Plan!$E$25,MAX(0,Plan!$E$25-(M238+N238)))+IF(R238&lt;=0,Plan!$E$26,MAX(0,Plan!$E$26-(R238+S238)))+IF(W238&lt;=0,Plan!$E$27,MAX(0,Plan!$E$27-(W238+X238)))+IF(AB238&lt;=0,Plan!$E$28,MAX(0,Plan!$E$28-(AB238+AC238))))-IF(C238&lt;=0,0,MAX(0,E238-Plan!$E$23))</f>
        <v/>
      </c>
      <c r="H238" s="42">
        <f>K237</f>
        <v/>
      </c>
      <c r="I238" s="43">
        <f>IF(H238&gt;0,H238*Plan!$D$24/100/12,0)</f>
        <v/>
      </c>
      <c r="J238" s="42">
        <f>IF(H238&lt;=0,0,MIN(H238+I238,Plan!$E$24+G238))</f>
        <v/>
      </c>
      <c r="K238" s="44">
        <f>MAX(0,H238+I238-J238)</f>
        <v/>
      </c>
      <c r="L238" s="45">
        <f>G238-IF(H238&lt;=0,0,MAX(0,J238-Plan!$E$24))</f>
        <v/>
      </c>
      <c r="M238" s="42">
        <f>P237</f>
        <v/>
      </c>
      <c r="N238" s="43">
        <f>IF(M238&gt;0,M238*Plan!$D$25/100/12,0)</f>
        <v/>
      </c>
      <c r="O238" s="42">
        <f>IF(M238&lt;=0,0,MIN(M238+N238,Plan!$E$25+L238))</f>
        <v/>
      </c>
      <c r="P238" s="44">
        <f>MAX(0,M238+N238-O238)</f>
        <v/>
      </c>
      <c r="Q238" s="45">
        <f>L238-IF(M238&lt;=0,0,MAX(0,O238-Plan!$E$25))</f>
        <v/>
      </c>
      <c r="R238" s="42">
        <f>U237</f>
        <v/>
      </c>
      <c r="S238" s="43">
        <f>IF(R238&gt;0,R238*Plan!$D$26/100/12,0)</f>
        <v/>
      </c>
      <c r="T238" s="42">
        <f>IF(R238&lt;=0,0,MIN(R238+S238,Plan!$E$26+Q238))</f>
        <v/>
      </c>
      <c r="U238" s="44">
        <f>MAX(0,R238+S238-T238)</f>
        <v/>
      </c>
      <c r="V238" s="45">
        <f>Q238-IF(R238&lt;=0,0,MAX(0,T238-Plan!$E$26))</f>
        <v/>
      </c>
      <c r="W238" s="42">
        <f>Z237</f>
        <v/>
      </c>
      <c r="X238" s="43">
        <f>IF(W238&gt;0,W238*Plan!$D$27/100/12,0)</f>
        <v/>
      </c>
      <c r="Y238" s="42">
        <f>IF(W238&lt;=0,0,MIN(W238+X238,Plan!$E$27+V238))</f>
        <v/>
      </c>
      <c r="Z238" s="44">
        <f>MAX(0,W238+X238-Y238)</f>
        <v/>
      </c>
      <c r="AA238" s="45">
        <f>V238-IF(W238&lt;=0,0,MAX(0,Y238-Plan!$E$27))</f>
        <v/>
      </c>
      <c r="AB238" s="42">
        <f>AE237</f>
        <v/>
      </c>
      <c r="AC238" s="43">
        <f>IF(AB238&gt;0,AB238*Plan!$D$28/100/12,0)</f>
        <v/>
      </c>
      <c r="AD238" s="42">
        <f>IF(AB238&lt;=0,0,MIN(AB238+AC238,Plan!$E$28+AA238))</f>
        <v/>
      </c>
      <c r="AE238" s="44">
        <f>MAX(0,AB238+AC238-AD238)</f>
        <v/>
      </c>
      <c r="AF238" s="45">
        <f>AA238-IF(AB238&lt;=0,0,MAX(0,AD238-Plan!$E$28))</f>
        <v/>
      </c>
      <c r="AG238" s="44">
        <f>F238+K238+P238+U238+Z238+AE238</f>
        <v/>
      </c>
    </row>
    <row r="239">
      <c r="A239" s="46" t="n">
        <v>232</v>
      </c>
      <c r="B239" s="47">
        <f>EDATE(Plan!$C$18,231)</f>
        <v/>
      </c>
      <c r="C239" s="48">
        <f>F238</f>
        <v/>
      </c>
      <c r="D239" s="49">
        <f>IF(C239&gt;0,C239*Plan!$D$23/100/12,0)</f>
        <v/>
      </c>
      <c r="E239" s="48">
        <f>IF(C239&lt;=0,0,MIN(C239+D239,Plan!$E$23+(Plan!$C$17+IF(C239&lt;=0,Plan!$E$23,MAX(0,Plan!$E$23-(C239+D239)))+IF(H239&lt;=0,Plan!$E$24,MAX(0,Plan!$E$24-(H239+I239)))+IF(M239&lt;=0,Plan!$E$25,MAX(0,Plan!$E$25-(M239+N239)))+IF(R239&lt;=0,Plan!$E$26,MAX(0,Plan!$E$26-(R239+S239)))+IF(W239&lt;=0,Plan!$E$27,MAX(0,Plan!$E$27-(W239+X239)))+IF(AB239&lt;=0,Plan!$E$28,MAX(0,Plan!$E$28-(AB239+AC239))))))</f>
        <v/>
      </c>
      <c r="F239" s="50">
        <f>MAX(0,C239+D239-E239)</f>
        <v/>
      </c>
      <c r="G239" s="51">
        <f>(Plan!$C$17+IF(C239&lt;=0,Plan!$E$23,MAX(0,Plan!$E$23-(C239+D239)))+IF(H239&lt;=0,Plan!$E$24,MAX(0,Plan!$E$24-(H239+I239)))+IF(M239&lt;=0,Plan!$E$25,MAX(0,Plan!$E$25-(M239+N239)))+IF(R239&lt;=0,Plan!$E$26,MAX(0,Plan!$E$26-(R239+S239)))+IF(W239&lt;=0,Plan!$E$27,MAX(0,Plan!$E$27-(W239+X239)))+IF(AB239&lt;=0,Plan!$E$28,MAX(0,Plan!$E$28-(AB239+AC239))))-IF(C239&lt;=0,0,MAX(0,E239-Plan!$E$23))</f>
        <v/>
      </c>
      <c r="H239" s="48">
        <f>K238</f>
        <v/>
      </c>
      <c r="I239" s="49">
        <f>IF(H239&gt;0,H239*Plan!$D$24/100/12,0)</f>
        <v/>
      </c>
      <c r="J239" s="48">
        <f>IF(H239&lt;=0,0,MIN(H239+I239,Plan!$E$24+G239))</f>
        <v/>
      </c>
      <c r="K239" s="50">
        <f>MAX(0,H239+I239-J239)</f>
        <v/>
      </c>
      <c r="L239" s="51">
        <f>G239-IF(H239&lt;=0,0,MAX(0,J239-Plan!$E$24))</f>
        <v/>
      </c>
      <c r="M239" s="48">
        <f>P238</f>
        <v/>
      </c>
      <c r="N239" s="49">
        <f>IF(M239&gt;0,M239*Plan!$D$25/100/12,0)</f>
        <v/>
      </c>
      <c r="O239" s="48">
        <f>IF(M239&lt;=0,0,MIN(M239+N239,Plan!$E$25+L239))</f>
        <v/>
      </c>
      <c r="P239" s="50">
        <f>MAX(0,M239+N239-O239)</f>
        <v/>
      </c>
      <c r="Q239" s="51">
        <f>L239-IF(M239&lt;=0,0,MAX(0,O239-Plan!$E$25))</f>
        <v/>
      </c>
      <c r="R239" s="48">
        <f>U238</f>
        <v/>
      </c>
      <c r="S239" s="49">
        <f>IF(R239&gt;0,R239*Plan!$D$26/100/12,0)</f>
        <v/>
      </c>
      <c r="T239" s="48">
        <f>IF(R239&lt;=0,0,MIN(R239+S239,Plan!$E$26+Q239))</f>
        <v/>
      </c>
      <c r="U239" s="50">
        <f>MAX(0,R239+S239-T239)</f>
        <v/>
      </c>
      <c r="V239" s="51">
        <f>Q239-IF(R239&lt;=0,0,MAX(0,T239-Plan!$E$26))</f>
        <v/>
      </c>
      <c r="W239" s="48">
        <f>Z238</f>
        <v/>
      </c>
      <c r="X239" s="49">
        <f>IF(W239&gt;0,W239*Plan!$D$27/100/12,0)</f>
        <v/>
      </c>
      <c r="Y239" s="48">
        <f>IF(W239&lt;=0,0,MIN(W239+X239,Plan!$E$27+V239))</f>
        <v/>
      </c>
      <c r="Z239" s="50">
        <f>MAX(0,W239+X239-Y239)</f>
        <v/>
      </c>
      <c r="AA239" s="51">
        <f>V239-IF(W239&lt;=0,0,MAX(0,Y239-Plan!$E$27))</f>
        <v/>
      </c>
      <c r="AB239" s="48">
        <f>AE238</f>
        <v/>
      </c>
      <c r="AC239" s="49">
        <f>IF(AB239&gt;0,AB239*Plan!$D$28/100/12,0)</f>
        <v/>
      </c>
      <c r="AD239" s="48">
        <f>IF(AB239&lt;=0,0,MIN(AB239+AC239,Plan!$E$28+AA239))</f>
        <v/>
      </c>
      <c r="AE239" s="50">
        <f>MAX(0,AB239+AC239-AD239)</f>
        <v/>
      </c>
      <c r="AF239" s="51">
        <f>AA239-IF(AB239&lt;=0,0,MAX(0,AD239-Plan!$E$28))</f>
        <v/>
      </c>
      <c r="AG239" s="50">
        <f>F239+K239+P239+U239+Z239+AE239</f>
        <v/>
      </c>
    </row>
    <row r="240">
      <c r="A240" s="40" t="n">
        <v>233</v>
      </c>
      <c r="B240" s="41">
        <f>EDATE(Plan!$C$18,232)</f>
        <v/>
      </c>
      <c r="C240" s="42">
        <f>F239</f>
        <v/>
      </c>
      <c r="D240" s="43">
        <f>IF(C240&gt;0,C240*Plan!$D$23/100/12,0)</f>
        <v/>
      </c>
      <c r="E240" s="42">
        <f>IF(C240&lt;=0,0,MIN(C240+D240,Plan!$E$23+(Plan!$C$17+IF(C240&lt;=0,Plan!$E$23,MAX(0,Plan!$E$23-(C240+D240)))+IF(H240&lt;=0,Plan!$E$24,MAX(0,Plan!$E$24-(H240+I240)))+IF(M240&lt;=0,Plan!$E$25,MAX(0,Plan!$E$25-(M240+N240)))+IF(R240&lt;=0,Plan!$E$26,MAX(0,Plan!$E$26-(R240+S240)))+IF(W240&lt;=0,Plan!$E$27,MAX(0,Plan!$E$27-(W240+X240)))+IF(AB240&lt;=0,Plan!$E$28,MAX(0,Plan!$E$28-(AB240+AC240))))))</f>
        <v/>
      </c>
      <c r="F240" s="44">
        <f>MAX(0,C240+D240-E240)</f>
        <v/>
      </c>
      <c r="G240" s="45">
        <f>(Plan!$C$17+IF(C240&lt;=0,Plan!$E$23,MAX(0,Plan!$E$23-(C240+D240)))+IF(H240&lt;=0,Plan!$E$24,MAX(0,Plan!$E$24-(H240+I240)))+IF(M240&lt;=0,Plan!$E$25,MAX(0,Plan!$E$25-(M240+N240)))+IF(R240&lt;=0,Plan!$E$26,MAX(0,Plan!$E$26-(R240+S240)))+IF(W240&lt;=0,Plan!$E$27,MAX(0,Plan!$E$27-(W240+X240)))+IF(AB240&lt;=0,Plan!$E$28,MAX(0,Plan!$E$28-(AB240+AC240))))-IF(C240&lt;=0,0,MAX(0,E240-Plan!$E$23))</f>
        <v/>
      </c>
      <c r="H240" s="42">
        <f>K239</f>
        <v/>
      </c>
      <c r="I240" s="43">
        <f>IF(H240&gt;0,H240*Plan!$D$24/100/12,0)</f>
        <v/>
      </c>
      <c r="J240" s="42">
        <f>IF(H240&lt;=0,0,MIN(H240+I240,Plan!$E$24+G240))</f>
        <v/>
      </c>
      <c r="K240" s="44">
        <f>MAX(0,H240+I240-J240)</f>
        <v/>
      </c>
      <c r="L240" s="45">
        <f>G240-IF(H240&lt;=0,0,MAX(0,J240-Plan!$E$24))</f>
        <v/>
      </c>
      <c r="M240" s="42">
        <f>P239</f>
        <v/>
      </c>
      <c r="N240" s="43">
        <f>IF(M240&gt;0,M240*Plan!$D$25/100/12,0)</f>
        <v/>
      </c>
      <c r="O240" s="42">
        <f>IF(M240&lt;=0,0,MIN(M240+N240,Plan!$E$25+L240))</f>
        <v/>
      </c>
      <c r="P240" s="44">
        <f>MAX(0,M240+N240-O240)</f>
        <v/>
      </c>
      <c r="Q240" s="45">
        <f>L240-IF(M240&lt;=0,0,MAX(0,O240-Plan!$E$25))</f>
        <v/>
      </c>
      <c r="R240" s="42">
        <f>U239</f>
        <v/>
      </c>
      <c r="S240" s="43">
        <f>IF(R240&gt;0,R240*Plan!$D$26/100/12,0)</f>
        <v/>
      </c>
      <c r="T240" s="42">
        <f>IF(R240&lt;=0,0,MIN(R240+S240,Plan!$E$26+Q240))</f>
        <v/>
      </c>
      <c r="U240" s="44">
        <f>MAX(0,R240+S240-T240)</f>
        <v/>
      </c>
      <c r="V240" s="45">
        <f>Q240-IF(R240&lt;=0,0,MAX(0,T240-Plan!$E$26))</f>
        <v/>
      </c>
      <c r="W240" s="42">
        <f>Z239</f>
        <v/>
      </c>
      <c r="X240" s="43">
        <f>IF(W240&gt;0,W240*Plan!$D$27/100/12,0)</f>
        <v/>
      </c>
      <c r="Y240" s="42">
        <f>IF(W240&lt;=0,0,MIN(W240+X240,Plan!$E$27+V240))</f>
        <v/>
      </c>
      <c r="Z240" s="44">
        <f>MAX(0,W240+X240-Y240)</f>
        <v/>
      </c>
      <c r="AA240" s="45">
        <f>V240-IF(W240&lt;=0,0,MAX(0,Y240-Plan!$E$27))</f>
        <v/>
      </c>
      <c r="AB240" s="42">
        <f>AE239</f>
        <v/>
      </c>
      <c r="AC240" s="43">
        <f>IF(AB240&gt;0,AB240*Plan!$D$28/100/12,0)</f>
        <v/>
      </c>
      <c r="AD240" s="42">
        <f>IF(AB240&lt;=0,0,MIN(AB240+AC240,Plan!$E$28+AA240))</f>
        <v/>
      </c>
      <c r="AE240" s="44">
        <f>MAX(0,AB240+AC240-AD240)</f>
        <v/>
      </c>
      <c r="AF240" s="45">
        <f>AA240-IF(AB240&lt;=0,0,MAX(0,AD240-Plan!$E$28))</f>
        <v/>
      </c>
      <c r="AG240" s="44">
        <f>F240+K240+P240+U240+Z240+AE240</f>
        <v/>
      </c>
    </row>
    <row r="241">
      <c r="A241" s="46" t="n">
        <v>234</v>
      </c>
      <c r="B241" s="47">
        <f>EDATE(Plan!$C$18,233)</f>
        <v/>
      </c>
      <c r="C241" s="48">
        <f>F240</f>
        <v/>
      </c>
      <c r="D241" s="49">
        <f>IF(C241&gt;0,C241*Plan!$D$23/100/12,0)</f>
        <v/>
      </c>
      <c r="E241" s="48">
        <f>IF(C241&lt;=0,0,MIN(C241+D241,Plan!$E$23+(Plan!$C$17+IF(C241&lt;=0,Plan!$E$23,MAX(0,Plan!$E$23-(C241+D241)))+IF(H241&lt;=0,Plan!$E$24,MAX(0,Plan!$E$24-(H241+I241)))+IF(M241&lt;=0,Plan!$E$25,MAX(0,Plan!$E$25-(M241+N241)))+IF(R241&lt;=0,Plan!$E$26,MAX(0,Plan!$E$26-(R241+S241)))+IF(W241&lt;=0,Plan!$E$27,MAX(0,Plan!$E$27-(W241+X241)))+IF(AB241&lt;=0,Plan!$E$28,MAX(0,Plan!$E$28-(AB241+AC241))))))</f>
        <v/>
      </c>
      <c r="F241" s="50">
        <f>MAX(0,C241+D241-E241)</f>
        <v/>
      </c>
      <c r="G241" s="51">
        <f>(Plan!$C$17+IF(C241&lt;=0,Plan!$E$23,MAX(0,Plan!$E$23-(C241+D241)))+IF(H241&lt;=0,Plan!$E$24,MAX(0,Plan!$E$24-(H241+I241)))+IF(M241&lt;=0,Plan!$E$25,MAX(0,Plan!$E$25-(M241+N241)))+IF(R241&lt;=0,Plan!$E$26,MAX(0,Plan!$E$26-(R241+S241)))+IF(W241&lt;=0,Plan!$E$27,MAX(0,Plan!$E$27-(W241+X241)))+IF(AB241&lt;=0,Plan!$E$28,MAX(0,Plan!$E$28-(AB241+AC241))))-IF(C241&lt;=0,0,MAX(0,E241-Plan!$E$23))</f>
        <v/>
      </c>
      <c r="H241" s="48">
        <f>K240</f>
        <v/>
      </c>
      <c r="I241" s="49">
        <f>IF(H241&gt;0,H241*Plan!$D$24/100/12,0)</f>
        <v/>
      </c>
      <c r="J241" s="48">
        <f>IF(H241&lt;=0,0,MIN(H241+I241,Plan!$E$24+G241))</f>
        <v/>
      </c>
      <c r="K241" s="50">
        <f>MAX(0,H241+I241-J241)</f>
        <v/>
      </c>
      <c r="L241" s="51">
        <f>G241-IF(H241&lt;=0,0,MAX(0,J241-Plan!$E$24))</f>
        <v/>
      </c>
      <c r="M241" s="48">
        <f>P240</f>
        <v/>
      </c>
      <c r="N241" s="49">
        <f>IF(M241&gt;0,M241*Plan!$D$25/100/12,0)</f>
        <v/>
      </c>
      <c r="O241" s="48">
        <f>IF(M241&lt;=0,0,MIN(M241+N241,Plan!$E$25+L241))</f>
        <v/>
      </c>
      <c r="P241" s="50">
        <f>MAX(0,M241+N241-O241)</f>
        <v/>
      </c>
      <c r="Q241" s="51">
        <f>L241-IF(M241&lt;=0,0,MAX(0,O241-Plan!$E$25))</f>
        <v/>
      </c>
      <c r="R241" s="48">
        <f>U240</f>
        <v/>
      </c>
      <c r="S241" s="49">
        <f>IF(R241&gt;0,R241*Plan!$D$26/100/12,0)</f>
        <v/>
      </c>
      <c r="T241" s="48">
        <f>IF(R241&lt;=0,0,MIN(R241+S241,Plan!$E$26+Q241))</f>
        <v/>
      </c>
      <c r="U241" s="50">
        <f>MAX(0,R241+S241-T241)</f>
        <v/>
      </c>
      <c r="V241" s="51">
        <f>Q241-IF(R241&lt;=0,0,MAX(0,T241-Plan!$E$26))</f>
        <v/>
      </c>
      <c r="W241" s="48">
        <f>Z240</f>
        <v/>
      </c>
      <c r="X241" s="49">
        <f>IF(W241&gt;0,W241*Plan!$D$27/100/12,0)</f>
        <v/>
      </c>
      <c r="Y241" s="48">
        <f>IF(W241&lt;=0,0,MIN(W241+X241,Plan!$E$27+V241))</f>
        <v/>
      </c>
      <c r="Z241" s="50">
        <f>MAX(0,W241+X241-Y241)</f>
        <v/>
      </c>
      <c r="AA241" s="51">
        <f>V241-IF(W241&lt;=0,0,MAX(0,Y241-Plan!$E$27))</f>
        <v/>
      </c>
      <c r="AB241" s="48">
        <f>AE240</f>
        <v/>
      </c>
      <c r="AC241" s="49">
        <f>IF(AB241&gt;0,AB241*Plan!$D$28/100/12,0)</f>
        <v/>
      </c>
      <c r="AD241" s="48">
        <f>IF(AB241&lt;=0,0,MIN(AB241+AC241,Plan!$E$28+AA241))</f>
        <v/>
      </c>
      <c r="AE241" s="50">
        <f>MAX(0,AB241+AC241-AD241)</f>
        <v/>
      </c>
      <c r="AF241" s="51">
        <f>AA241-IF(AB241&lt;=0,0,MAX(0,AD241-Plan!$E$28))</f>
        <v/>
      </c>
      <c r="AG241" s="50">
        <f>F241+K241+P241+U241+Z241+AE241</f>
        <v/>
      </c>
    </row>
    <row r="242">
      <c r="A242" s="40" t="n">
        <v>235</v>
      </c>
      <c r="B242" s="41">
        <f>EDATE(Plan!$C$18,234)</f>
        <v/>
      </c>
      <c r="C242" s="42">
        <f>F241</f>
        <v/>
      </c>
      <c r="D242" s="43">
        <f>IF(C242&gt;0,C242*Plan!$D$23/100/12,0)</f>
        <v/>
      </c>
      <c r="E242" s="42">
        <f>IF(C242&lt;=0,0,MIN(C242+D242,Plan!$E$23+(Plan!$C$17+IF(C242&lt;=0,Plan!$E$23,MAX(0,Plan!$E$23-(C242+D242)))+IF(H242&lt;=0,Plan!$E$24,MAX(0,Plan!$E$24-(H242+I242)))+IF(M242&lt;=0,Plan!$E$25,MAX(0,Plan!$E$25-(M242+N242)))+IF(R242&lt;=0,Plan!$E$26,MAX(0,Plan!$E$26-(R242+S242)))+IF(W242&lt;=0,Plan!$E$27,MAX(0,Plan!$E$27-(W242+X242)))+IF(AB242&lt;=0,Plan!$E$28,MAX(0,Plan!$E$28-(AB242+AC242))))))</f>
        <v/>
      </c>
      <c r="F242" s="44">
        <f>MAX(0,C242+D242-E242)</f>
        <v/>
      </c>
      <c r="G242" s="45">
        <f>(Plan!$C$17+IF(C242&lt;=0,Plan!$E$23,MAX(0,Plan!$E$23-(C242+D242)))+IF(H242&lt;=0,Plan!$E$24,MAX(0,Plan!$E$24-(H242+I242)))+IF(M242&lt;=0,Plan!$E$25,MAX(0,Plan!$E$25-(M242+N242)))+IF(R242&lt;=0,Plan!$E$26,MAX(0,Plan!$E$26-(R242+S242)))+IF(W242&lt;=0,Plan!$E$27,MAX(0,Plan!$E$27-(W242+X242)))+IF(AB242&lt;=0,Plan!$E$28,MAX(0,Plan!$E$28-(AB242+AC242))))-IF(C242&lt;=0,0,MAX(0,E242-Plan!$E$23))</f>
        <v/>
      </c>
      <c r="H242" s="42">
        <f>K241</f>
        <v/>
      </c>
      <c r="I242" s="43">
        <f>IF(H242&gt;0,H242*Plan!$D$24/100/12,0)</f>
        <v/>
      </c>
      <c r="J242" s="42">
        <f>IF(H242&lt;=0,0,MIN(H242+I242,Plan!$E$24+G242))</f>
        <v/>
      </c>
      <c r="K242" s="44">
        <f>MAX(0,H242+I242-J242)</f>
        <v/>
      </c>
      <c r="L242" s="45">
        <f>G242-IF(H242&lt;=0,0,MAX(0,J242-Plan!$E$24))</f>
        <v/>
      </c>
      <c r="M242" s="42">
        <f>P241</f>
        <v/>
      </c>
      <c r="N242" s="43">
        <f>IF(M242&gt;0,M242*Plan!$D$25/100/12,0)</f>
        <v/>
      </c>
      <c r="O242" s="42">
        <f>IF(M242&lt;=0,0,MIN(M242+N242,Plan!$E$25+L242))</f>
        <v/>
      </c>
      <c r="P242" s="44">
        <f>MAX(0,M242+N242-O242)</f>
        <v/>
      </c>
      <c r="Q242" s="45">
        <f>L242-IF(M242&lt;=0,0,MAX(0,O242-Plan!$E$25))</f>
        <v/>
      </c>
      <c r="R242" s="42">
        <f>U241</f>
        <v/>
      </c>
      <c r="S242" s="43">
        <f>IF(R242&gt;0,R242*Plan!$D$26/100/12,0)</f>
        <v/>
      </c>
      <c r="T242" s="42">
        <f>IF(R242&lt;=0,0,MIN(R242+S242,Plan!$E$26+Q242))</f>
        <v/>
      </c>
      <c r="U242" s="44">
        <f>MAX(0,R242+S242-T242)</f>
        <v/>
      </c>
      <c r="V242" s="45">
        <f>Q242-IF(R242&lt;=0,0,MAX(0,T242-Plan!$E$26))</f>
        <v/>
      </c>
      <c r="W242" s="42">
        <f>Z241</f>
        <v/>
      </c>
      <c r="X242" s="43">
        <f>IF(W242&gt;0,W242*Plan!$D$27/100/12,0)</f>
        <v/>
      </c>
      <c r="Y242" s="42">
        <f>IF(W242&lt;=0,0,MIN(W242+X242,Plan!$E$27+V242))</f>
        <v/>
      </c>
      <c r="Z242" s="44">
        <f>MAX(0,W242+X242-Y242)</f>
        <v/>
      </c>
      <c r="AA242" s="45">
        <f>V242-IF(W242&lt;=0,0,MAX(0,Y242-Plan!$E$27))</f>
        <v/>
      </c>
      <c r="AB242" s="42">
        <f>AE241</f>
        <v/>
      </c>
      <c r="AC242" s="43">
        <f>IF(AB242&gt;0,AB242*Plan!$D$28/100/12,0)</f>
        <v/>
      </c>
      <c r="AD242" s="42">
        <f>IF(AB242&lt;=0,0,MIN(AB242+AC242,Plan!$E$28+AA242))</f>
        <v/>
      </c>
      <c r="AE242" s="44">
        <f>MAX(0,AB242+AC242-AD242)</f>
        <v/>
      </c>
      <c r="AF242" s="45">
        <f>AA242-IF(AB242&lt;=0,0,MAX(0,AD242-Plan!$E$28))</f>
        <v/>
      </c>
      <c r="AG242" s="44">
        <f>F242+K242+P242+U242+Z242+AE242</f>
        <v/>
      </c>
    </row>
    <row r="243">
      <c r="A243" s="46" t="n">
        <v>236</v>
      </c>
      <c r="B243" s="47">
        <f>EDATE(Plan!$C$18,235)</f>
        <v/>
      </c>
      <c r="C243" s="48">
        <f>F242</f>
        <v/>
      </c>
      <c r="D243" s="49">
        <f>IF(C243&gt;0,C243*Plan!$D$23/100/12,0)</f>
        <v/>
      </c>
      <c r="E243" s="48">
        <f>IF(C243&lt;=0,0,MIN(C243+D243,Plan!$E$23+(Plan!$C$17+IF(C243&lt;=0,Plan!$E$23,MAX(0,Plan!$E$23-(C243+D243)))+IF(H243&lt;=0,Plan!$E$24,MAX(0,Plan!$E$24-(H243+I243)))+IF(M243&lt;=0,Plan!$E$25,MAX(0,Plan!$E$25-(M243+N243)))+IF(R243&lt;=0,Plan!$E$26,MAX(0,Plan!$E$26-(R243+S243)))+IF(W243&lt;=0,Plan!$E$27,MAX(0,Plan!$E$27-(W243+X243)))+IF(AB243&lt;=0,Plan!$E$28,MAX(0,Plan!$E$28-(AB243+AC243))))))</f>
        <v/>
      </c>
      <c r="F243" s="50">
        <f>MAX(0,C243+D243-E243)</f>
        <v/>
      </c>
      <c r="G243" s="51">
        <f>(Plan!$C$17+IF(C243&lt;=0,Plan!$E$23,MAX(0,Plan!$E$23-(C243+D243)))+IF(H243&lt;=0,Plan!$E$24,MAX(0,Plan!$E$24-(H243+I243)))+IF(M243&lt;=0,Plan!$E$25,MAX(0,Plan!$E$25-(M243+N243)))+IF(R243&lt;=0,Plan!$E$26,MAX(0,Plan!$E$26-(R243+S243)))+IF(W243&lt;=0,Plan!$E$27,MAX(0,Plan!$E$27-(W243+X243)))+IF(AB243&lt;=0,Plan!$E$28,MAX(0,Plan!$E$28-(AB243+AC243))))-IF(C243&lt;=0,0,MAX(0,E243-Plan!$E$23))</f>
        <v/>
      </c>
      <c r="H243" s="48">
        <f>K242</f>
        <v/>
      </c>
      <c r="I243" s="49">
        <f>IF(H243&gt;0,H243*Plan!$D$24/100/12,0)</f>
        <v/>
      </c>
      <c r="J243" s="48">
        <f>IF(H243&lt;=0,0,MIN(H243+I243,Plan!$E$24+G243))</f>
        <v/>
      </c>
      <c r="K243" s="50">
        <f>MAX(0,H243+I243-J243)</f>
        <v/>
      </c>
      <c r="L243" s="51">
        <f>G243-IF(H243&lt;=0,0,MAX(0,J243-Plan!$E$24))</f>
        <v/>
      </c>
      <c r="M243" s="48">
        <f>P242</f>
        <v/>
      </c>
      <c r="N243" s="49">
        <f>IF(M243&gt;0,M243*Plan!$D$25/100/12,0)</f>
        <v/>
      </c>
      <c r="O243" s="48">
        <f>IF(M243&lt;=0,0,MIN(M243+N243,Plan!$E$25+L243))</f>
        <v/>
      </c>
      <c r="P243" s="50">
        <f>MAX(0,M243+N243-O243)</f>
        <v/>
      </c>
      <c r="Q243" s="51">
        <f>L243-IF(M243&lt;=0,0,MAX(0,O243-Plan!$E$25))</f>
        <v/>
      </c>
      <c r="R243" s="48">
        <f>U242</f>
        <v/>
      </c>
      <c r="S243" s="49">
        <f>IF(R243&gt;0,R243*Plan!$D$26/100/12,0)</f>
        <v/>
      </c>
      <c r="T243" s="48">
        <f>IF(R243&lt;=0,0,MIN(R243+S243,Plan!$E$26+Q243))</f>
        <v/>
      </c>
      <c r="U243" s="50">
        <f>MAX(0,R243+S243-T243)</f>
        <v/>
      </c>
      <c r="V243" s="51">
        <f>Q243-IF(R243&lt;=0,0,MAX(0,T243-Plan!$E$26))</f>
        <v/>
      </c>
      <c r="W243" s="48">
        <f>Z242</f>
        <v/>
      </c>
      <c r="X243" s="49">
        <f>IF(W243&gt;0,W243*Plan!$D$27/100/12,0)</f>
        <v/>
      </c>
      <c r="Y243" s="48">
        <f>IF(W243&lt;=0,0,MIN(W243+X243,Plan!$E$27+V243))</f>
        <v/>
      </c>
      <c r="Z243" s="50">
        <f>MAX(0,W243+X243-Y243)</f>
        <v/>
      </c>
      <c r="AA243" s="51">
        <f>V243-IF(W243&lt;=0,0,MAX(0,Y243-Plan!$E$27))</f>
        <v/>
      </c>
      <c r="AB243" s="48">
        <f>AE242</f>
        <v/>
      </c>
      <c r="AC243" s="49">
        <f>IF(AB243&gt;0,AB243*Plan!$D$28/100/12,0)</f>
        <v/>
      </c>
      <c r="AD243" s="48">
        <f>IF(AB243&lt;=0,0,MIN(AB243+AC243,Plan!$E$28+AA243))</f>
        <v/>
      </c>
      <c r="AE243" s="50">
        <f>MAX(0,AB243+AC243-AD243)</f>
        <v/>
      </c>
      <c r="AF243" s="51">
        <f>AA243-IF(AB243&lt;=0,0,MAX(0,AD243-Plan!$E$28))</f>
        <v/>
      </c>
      <c r="AG243" s="50">
        <f>F243+K243+P243+U243+Z243+AE243</f>
        <v/>
      </c>
    </row>
    <row r="244">
      <c r="A244" s="40" t="n">
        <v>237</v>
      </c>
      <c r="B244" s="41">
        <f>EDATE(Plan!$C$18,236)</f>
        <v/>
      </c>
      <c r="C244" s="42">
        <f>F243</f>
        <v/>
      </c>
      <c r="D244" s="43">
        <f>IF(C244&gt;0,C244*Plan!$D$23/100/12,0)</f>
        <v/>
      </c>
      <c r="E244" s="42">
        <f>IF(C244&lt;=0,0,MIN(C244+D244,Plan!$E$23+(Plan!$C$17+IF(C244&lt;=0,Plan!$E$23,MAX(0,Plan!$E$23-(C244+D244)))+IF(H244&lt;=0,Plan!$E$24,MAX(0,Plan!$E$24-(H244+I244)))+IF(M244&lt;=0,Plan!$E$25,MAX(0,Plan!$E$25-(M244+N244)))+IF(R244&lt;=0,Plan!$E$26,MAX(0,Plan!$E$26-(R244+S244)))+IF(W244&lt;=0,Plan!$E$27,MAX(0,Plan!$E$27-(W244+X244)))+IF(AB244&lt;=0,Plan!$E$28,MAX(0,Plan!$E$28-(AB244+AC244))))))</f>
        <v/>
      </c>
      <c r="F244" s="44">
        <f>MAX(0,C244+D244-E244)</f>
        <v/>
      </c>
      <c r="G244" s="45">
        <f>(Plan!$C$17+IF(C244&lt;=0,Plan!$E$23,MAX(0,Plan!$E$23-(C244+D244)))+IF(H244&lt;=0,Plan!$E$24,MAX(0,Plan!$E$24-(H244+I244)))+IF(M244&lt;=0,Plan!$E$25,MAX(0,Plan!$E$25-(M244+N244)))+IF(R244&lt;=0,Plan!$E$26,MAX(0,Plan!$E$26-(R244+S244)))+IF(W244&lt;=0,Plan!$E$27,MAX(0,Plan!$E$27-(W244+X244)))+IF(AB244&lt;=0,Plan!$E$28,MAX(0,Plan!$E$28-(AB244+AC244))))-IF(C244&lt;=0,0,MAX(0,E244-Plan!$E$23))</f>
        <v/>
      </c>
      <c r="H244" s="42">
        <f>K243</f>
        <v/>
      </c>
      <c r="I244" s="43">
        <f>IF(H244&gt;0,H244*Plan!$D$24/100/12,0)</f>
        <v/>
      </c>
      <c r="J244" s="42">
        <f>IF(H244&lt;=0,0,MIN(H244+I244,Plan!$E$24+G244))</f>
        <v/>
      </c>
      <c r="K244" s="44">
        <f>MAX(0,H244+I244-J244)</f>
        <v/>
      </c>
      <c r="L244" s="45">
        <f>G244-IF(H244&lt;=0,0,MAX(0,J244-Plan!$E$24))</f>
        <v/>
      </c>
      <c r="M244" s="42">
        <f>P243</f>
        <v/>
      </c>
      <c r="N244" s="43">
        <f>IF(M244&gt;0,M244*Plan!$D$25/100/12,0)</f>
        <v/>
      </c>
      <c r="O244" s="42">
        <f>IF(M244&lt;=0,0,MIN(M244+N244,Plan!$E$25+L244))</f>
        <v/>
      </c>
      <c r="P244" s="44">
        <f>MAX(0,M244+N244-O244)</f>
        <v/>
      </c>
      <c r="Q244" s="45">
        <f>L244-IF(M244&lt;=0,0,MAX(0,O244-Plan!$E$25))</f>
        <v/>
      </c>
      <c r="R244" s="42">
        <f>U243</f>
        <v/>
      </c>
      <c r="S244" s="43">
        <f>IF(R244&gt;0,R244*Plan!$D$26/100/12,0)</f>
        <v/>
      </c>
      <c r="T244" s="42">
        <f>IF(R244&lt;=0,0,MIN(R244+S244,Plan!$E$26+Q244))</f>
        <v/>
      </c>
      <c r="U244" s="44">
        <f>MAX(0,R244+S244-T244)</f>
        <v/>
      </c>
      <c r="V244" s="45">
        <f>Q244-IF(R244&lt;=0,0,MAX(0,T244-Plan!$E$26))</f>
        <v/>
      </c>
      <c r="W244" s="42">
        <f>Z243</f>
        <v/>
      </c>
      <c r="X244" s="43">
        <f>IF(W244&gt;0,W244*Plan!$D$27/100/12,0)</f>
        <v/>
      </c>
      <c r="Y244" s="42">
        <f>IF(W244&lt;=0,0,MIN(W244+X244,Plan!$E$27+V244))</f>
        <v/>
      </c>
      <c r="Z244" s="44">
        <f>MAX(0,W244+X244-Y244)</f>
        <v/>
      </c>
      <c r="AA244" s="45">
        <f>V244-IF(W244&lt;=0,0,MAX(0,Y244-Plan!$E$27))</f>
        <v/>
      </c>
      <c r="AB244" s="42">
        <f>AE243</f>
        <v/>
      </c>
      <c r="AC244" s="43">
        <f>IF(AB244&gt;0,AB244*Plan!$D$28/100/12,0)</f>
        <v/>
      </c>
      <c r="AD244" s="42">
        <f>IF(AB244&lt;=0,0,MIN(AB244+AC244,Plan!$E$28+AA244))</f>
        <v/>
      </c>
      <c r="AE244" s="44">
        <f>MAX(0,AB244+AC244-AD244)</f>
        <v/>
      </c>
      <c r="AF244" s="45">
        <f>AA244-IF(AB244&lt;=0,0,MAX(0,AD244-Plan!$E$28))</f>
        <v/>
      </c>
      <c r="AG244" s="44">
        <f>F244+K244+P244+U244+Z244+AE244</f>
        <v/>
      </c>
    </row>
    <row r="245">
      <c r="A245" s="46" t="n">
        <v>238</v>
      </c>
      <c r="B245" s="47">
        <f>EDATE(Plan!$C$18,237)</f>
        <v/>
      </c>
      <c r="C245" s="48">
        <f>F244</f>
        <v/>
      </c>
      <c r="D245" s="49">
        <f>IF(C245&gt;0,C245*Plan!$D$23/100/12,0)</f>
        <v/>
      </c>
      <c r="E245" s="48">
        <f>IF(C245&lt;=0,0,MIN(C245+D245,Plan!$E$23+(Plan!$C$17+IF(C245&lt;=0,Plan!$E$23,MAX(0,Plan!$E$23-(C245+D245)))+IF(H245&lt;=0,Plan!$E$24,MAX(0,Plan!$E$24-(H245+I245)))+IF(M245&lt;=0,Plan!$E$25,MAX(0,Plan!$E$25-(M245+N245)))+IF(R245&lt;=0,Plan!$E$26,MAX(0,Plan!$E$26-(R245+S245)))+IF(W245&lt;=0,Plan!$E$27,MAX(0,Plan!$E$27-(W245+X245)))+IF(AB245&lt;=0,Plan!$E$28,MAX(0,Plan!$E$28-(AB245+AC245))))))</f>
        <v/>
      </c>
      <c r="F245" s="50">
        <f>MAX(0,C245+D245-E245)</f>
        <v/>
      </c>
      <c r="G245" s="51">
        <f>(Plan!$C$17+IF(C245&lt;=0,Plan!$E$23,MAX(0,Plan!$E$23-(C245+D245)))+IF(H245&lt;=0,Plan!$E$24,MAX(0,Plan!$E$24-(H245+I245)))+IF(M245&lt;=0,Plan!$E$25,MAX(0,Plan!$E$25-(M245+N245)))+IF(R245&lt;=0,Plan!$E$26,MAX(0,Plan!$E$26-(R245+S245)))+IF(W245&lt;=0,Plan!$E$27,MAX(0,Plan!$E$27-(W245+X245)))+IF(AB245&lt;=0,Plan!$E$28,MAX(0,Plan!$E$28-(AB245+AC245))))-IF(C245&lt;=0,0,MAX(0,E245-Plan!$E$23))</f>
        <v/>
      </c>
      <c r="H245" s="48">
        <f>K244</f>
        <v/>
      </c>
      <c r="I245" s="49">
        <f>IF(H245&gt;0,H245*Plan!$D$24/100/12,0)</f>
        <v/>
      </c>
      <c r="J245" s="48">
        <f>IF(H245&lt;=0,0,MIN(H245+I245,Plan!$E$24+G245))</f>
        <v/>
      </c>
      <c r="K245" s="50">
        <f>MAX(0,H245+I245-J245)</f>
        <v/>
      </c>
      <c r="L245" s="51">
        <f>G245-IF(H245&lt;=0,0,MAX(0,J245-Plan!$E$24))</f>
        <v/>
      </c>
      <c r="M245" s="48">
        <f>P244</f>
        <v/>
      </c>
      <c r="N245" s="49">
        <f>IF(M245&gt;0,M245*Plan!$D$25/100/12,0)</f>
        <v/>
      </c>
      <c r="O245" s="48">
        <f>IF(M245&lt;=0,0,MIN(M245+N245,Plan!$E$25+L245))</f>
        <v/>
      </c>
      <c r="P245" s="50">
        <f>MAX(0,M245+N245-O245)</f>
        <v/>
      </c>
      <c r="Q245" s="51">
        <f>L245-IF(M245&lt;=0,0,MAX(0,O245-Plan!$E$25))</f>
        <v/>
      </c>
      <c r="R245" s="48">
        <f>U244</f>
        <v/>
      </c>
      <c r="S245" s="49">
        <f>IF(R245&gt;0,R245*Plan!$D$26/100/12,0)</f>
        <v/>
      </c>
      <c r="T245" s="48">
        <f>IF(R245&lt;=0,0,MIN(R245+S245,Plan!$E$26+Q245))</f>
        <v/>
      </c>
      <c r="U245" s="50">
        <f>MAX(0,R245+S245-T245)</f>
        <v/>
      </c>
      <c r="V245" s="51">
        <f>Q245-IF(R245&lt;=0,0,MAX(0,T245-Plan!$E$26))</f>
        <v/>
      </c>
      <c r="W245" s="48">
        <f>Z244</f>
        <v/>
      </c>
      <c r="X245" s="49">
        <f>IF(W245&gt;0,W245*Plan!$D$27/100/12,0)</f>
        <v/>
      </c>
      <c r="Y245" s="48">
        <f>IF(W245&lt;=0,0,MIN(W245+X245,Plan!$E$27+V245))</f>
        <v/>
      </c>
      <c r="Z245" s="50">
        <f>MAX(0,W245+X245-Y245)</f>
        <v/>
      </c>
      <c r="AA245" s="51">
        <f>V245-IF(W245&lt;=0,0,MAX(0,Y245-Plan!$E$27))</f>
        <v/>
      </c>
      <c r="AB245" s="48">
        <f>AE244</f>
        <v/>
      </c>
      <c r="AC245" s="49">
        <f>IF(AB245&gt;0,AB245*Plan!$D$28/100/12,0)</f>
        <v/>
      </c>
      <c r="AD245" s="48">
        <f>IF(AB245&lt;=0,0,MIN(AB245+AC245,Plan!$E$28+AA245))</f>
        <v/>
      </c>
      <c r="AE245" s="50">
        <f>MAX(0,AB245+AC245-AD245)</f>
        <v/>
      </c>
      <c r="AF245" s="51">
        <f>AA245-IF(AB245&lt;=0,0,MAX(0,AD245-Plan!$E$28))</f>
        <v/>
      </c>
      <c r="AG245" s="50">
        <f>F245+K245+P245+U245+Z245+AE245</f>
        <v/>
      </c>
    </row>
    <row r="246">
      <c r="A246" s="40" t="n">
        <v>239</v>
      </c>
      <c r="B246" s="41">
        <f>EDATE(Plan!$C$18,238)</f>
        <v/>
      </c>
      <c r="C246" s="42">
        <f>F245</f>
        <v/>
      </c>
      <c r="D246" s="43">
        <f>IF(C246&gt;0,C246*Plan!$D$23/100/12,0)</f>
        <v/>
      </c>
      <c r="E246" s="42">
        <f>IF(C246&lt;=0,0,MIN(C246+D246,Plan!$E$23+(Plan!$C$17+IF(C246&lt;=0,Plan!$E$23,MAX(0,Plan!$E$23-(C246+D246)))+IF(H246&lt;=0,Plan!$E$24,MAX(0,Plan!$E$24-(H246+I246)))+IF(M246&lt;=0,Plan!$E$25,MAX(0,Plan!$E$25-(M246+N246)))+IF(R246&lt;=0,Plan!$E$26,MAX(0,Plan!$E$26-(R246+S246)))+IF(W246&lt;=0,Plan!$E$27,MAX(0,Plan!$E$27-(W246+X246)))+IF(AB246&lt;=0,Plan!$E$28,MAX(0,Plan!$E$28-(AB246+AC246))))))</f>
        <v/>
      </c>
      <c r="F246" s="44">
        <f>MAX(0,C246+D246-E246)</f>
        <v/>
      </c>
      <c r="G246" s="45">
        <f>(Plan!$C$17+IF(C246&lt;=0,Plan!$E$23,MAX(0,Plan!$E$23-(C246+D246)))+IF(H246&lt;=0,Plan!$E$24,MAX(0,Plan!$E$24-(H246+I246)))+IF(M246&lt;=0,Plan!$E$25,MAX(0,Plan!$E$25-(M246+N246)))+IF(R246&lt;=0,Plan!$E$26,MAX(0,Plan!$E$26-(R246+S246)))+IF(W246&lt;=0,Plan!$E$27,MAX(0,Plan!$E$27-(W246+X246)))+IF(AB246&lt;=0,Plan!$E$28,MAX(0,Plan!$E$28-(AB246+AC246))))-IF(C246&lt;=0,0,MAX(0,E246-Plan!$E$23))</f>
        <v/>
      </c>
      <c r="H246" s="42">
        <f>K245</f>
        <v/>
      </c>
      <c r="I246" s="43">
        <f>IF(H246&gt;0,H246*Plan!$D$24/100/12,0)</f>
        <v/>
      </c>
      <c r="J246" s="42">
        <f>IF(H246&lt;=0,0,MIN(H246+I246,Plan!$E$24+G246))</f>
        <v/>
      </c>
      <c r="K246" s="44">
        <f>MAX(0,H246+I246-J246)</f>
        <v/>
      </c>
      <c r="L246" s="45">
        <f>G246-IF(H246&lt;=0,0,MAX(0,J246-Plan!$E$24))</f>
        <v/>
      </c>
      <c r="M246" s="42">
        <f>P245</f>
        <v/>
      </c>
      <c r="N246" s="43">
        <f>IF(M246&gt;0,M246*Plan!$D$25/100/12,0)</f>
        <v/>
      </c>
      <c r="O246" s="42">
        <f>IF(M246&lt;=0,0,MIN(M246+N246,Plan!$E$25+L246))</f>
        <v/>
      </c>
      <c r="P246" s="44">
        <f>MAX(0,M246+N246-O246)</f>
        <v/>
      </c>
      <c r="Q246" s="45">
        <f>L246-IF(M246&lt;=0,0,MAX(0,O246-Plan!$E$25))</f>
        <v/>
      </c>
      <c r="R246" s="42">
        <f>U245</f>
        <v/>
      </c>
      <c r="S246" s="43">
        <f>IF(R246&gt;0,R246*Plan!$D$26/100/12,0)</f>
        <v/>
      </c>
      <c r="T246" s="42">
        <f>IF(R246&lt;=0,0,MIN(R246+S246,Plan!$E$26+Q246))</f>
        <v/>
      </c>
      <c r="U246" s="44">
        <f>MAX(0,R246+S246-T246)</f>
        <v/>
      </c>
      <c r="V246" s="45">
        <f>Q246-IF(R246&lt;=0,0,MAX(0,T246-Plan!$E$26))</f>
        <v/>
      </c>
      <c r="W246" s="42">
        <f>Z245</f>
        <v/>
      </c>
      <c r="X246" s="43">
        <f>IF(W246&gt;0,W246*Plan!$D$27/100/12,0)</f>
        <v/>
      </c>
      <c r="Y246" s="42">
        <f>IF(W246&lt;=0,0,MIN(W246+X246,Plan!$E$27+V246))</f>
        <v/>
      </c>
      <c r="Z246" s="44">
        <f>MAX(0,W246+X246-Y246)</f>
        <v/>
      </c>
      <c r="AA246" s="45">
        <f>V246-IF(W246&lt;=0,0,MAX(0,Y246-Plan!$E$27))</f>
        <v/>
      </c>
      <c r="AB246" s="42">
        <f>AE245</f>
        <v/>
      </c>
      <c r="AC246" s="43">
        <f>IF(AB246&gt;0,AB246*Plan!$D$28/100/12,0)</f>
        <v/>
      </c>
      <c r="AD246" s="42">
        <f>IF(AB246&lt;=0,0,MIN(AB246+AC246,Plan!$E$28+AA246))</f>
        <v/>
      </c>
      <c r="AE246" s="44">
        <f>MAX(0,AB246+AC246-AD246)</f>
        <v/>
      </c>
      <c r="AF246" s="45">
        <f>AA246-IF(AB246&lt;=0,0,MAX(0,AD246-Plan!$E$28))</f>
        <v/>
      </c>
      <c r="AG246" s="44">
        <f>F246+K246+P246+U246+Z246+AE246</f>
        <v/>
      </c>
    </row>
    <row r="247">
      <c r="A247" s="46" t="n">
        <v>240</v>
      </c>
      <c r="B247" s="47">
        <f>EDATE(Plan!$C$18,239)</f>
        <v/>
      </c>
      <c r="C247" s="48">
        <f>F246</f>
        <v/>
      </c>
      <c r="D247" s="49">
        <f>IF(C247&gt;0,C247*Plan!$D$23/100/12,0)</f>
        <v/>
      </c>
      <c r="E247" s="48">
        <f>IF(C247&lt;=0,0,MIN(C247+D247,Plan!$E$23+(Plan!$C$17+IF(C247&lt;=0,Plan!$E$23,MAX(0,Plan!$E$23-(C247+D247)))+IF(H247&lt;=0,Plan!$E$24,MAX(0,Plan!$E$24-(H247+I247)))+IF(M247&lt;=0,Plan!$E$25,MAX(0,Plan!$E$25-(M247+N247)))+IF(R247&lt;=0,Plan!$E$26,MAX(0,Plan!$E$26-(R247+S247)))+IF(W247&lt;=0,Plan!$E$27,MAX(0,Plan!$E$27-(W247+X247)))+IF(AB247&lt;=0,Plan!$E$28,MAX(0,Plan!$E$28-(AB247+AC247))))))</f>
        <v/>
      </c>
      <c r="F247" s="50">
        <f>MAX(0,C247+D247-E247)</f>
        <v/>
      </c>
      <c r="G247" s="51">
        <f>(Plan!$C$17+IF(C247&lt;=0,Plan!$E$23,MAX(0,Plan!$E$23-(C247+D247)))+IF(H247&lt;=0,Plan!$E$24,MAX(0,Plan!$E$24-(H247+I247)))+IF(M247&lt;=0,Plan!$E$25,MAX(0,Plan!$E$25-(M247+N247)))+IF(R247&lt;=0,Plan!$E$26,MAX(0,Plan!$E$26-(R247+S247)))+IF(W247&lt;=0,Plan!$E$27,MAX(0,Plan!$E$27-(W247+X247)))+IF(AB247&lt;=0,Plan!$E$28,MAX(0,Plan!$E$28-(AB247+AC247))))-IF(C247&lt;=0,0,MAX(0,E247-Plan!$E$23))</f>
        <v/>
      </c>
      <c r="H247" s="48">
        <f>K246</f>
        <v/>
      </c>
      <c r="I247" s="49">
        <f>IF(H247&gt;0,H247*Plan!$D$24/100/12,0)</f>
        <v/>
      </c>
      <c r="J247" s="48">
        <f>IF(H247&lt;=0,0,MIN(H247+I247,Plan!$E$24+G247))</f>
        <v/>
      </c>
      <c r="K247" s="50">
        <f>MAX(0,H247+I247-J247)</f>
        <v/>
      </c>
      <c r="L247" s="51">
        <f>G247-IF(H247&lt;=0,0,MAX(0,J247-Plan!$E$24))</f>
        <v/>
      </c>
      <c r="M247" s="48">
        <f>P246</f>
        <v/>
      </c>
      <c r="N247" s="49">
        <f>IF(M247&gt;0,M247*Plan!$D$25/100/12,0)</f>
        <v/>
      </c>
      <c r="O247" s="48">
        <f>IF(M247&lt;=0,0,MIN(M247+N247,Plan!$E$25+L247))</f>
        <v/>
      </c>
      <c r="P247" s="50">
        <f>MAX(0,M247+N247-O247)</f>
        <v/>
      </c>
      <c r="Q247" s="51">
        <f>L247-IF(M247&lt;=0,0,MAX(0,O247-Plan!$E$25))</f>
        <v/>
      </c>
      <c r="R247" s="48">
        <f>U246</f>
        <v/>
      </c>
      <c r="S247" s="49">
        <f>IF(R247&gt;0,R247*Plan!$D$26/100/12,0)</f>
        <v/>
      </c>
      <c r="T247" s="48">
        <f>IF(R247&lt;=0,0,MIN(R247+S247,Plan!$E$26+Q247))</f>
        <v/>
      </c>
      <c r="U247" s="50">
        <f>MAX(0,R247+S247-T247)</f>
        <v/>
      </c>
      <c r="V247" s="51">
        <f>Q247-IF(R247&lt;=0,0,MAX(0,T247-Plan!$E$26))</f>
        <v/>
      </c>
      <c r="W247" s="48">
        <f>Z246</f>
        <v/>
      </c>
      <c r="X247" s="49">
        <f>IF(W247&gt;0,W247*Plan!$D$27/100/12,0)</f>
        <v/>
      </c>
      <c r="Y247" s="48">
        <f>IF(W247&lt;=0,0,MIN(W247+X247,Plan!$E$27+V247))</f>
        <v/>
      </c>
      <c r="Z247" s="50">
        <f>MAX(0,W247+X247-Y247)</f>
        <v/>
      </c>
      <c r="AA247" s="51">
        <f>V247-IF(W247&lt;=0,0,MAX(0,Y247-Plan!$E$27))</f>
        <v/>
      </c>
      <c r="AB247" s="48">
        <f>AE246</f>
        <v/>
      </c>
      <c r="AC247" s="49">
        <f>IF(AB247&gt;0,AB247*Plan!$D$28/100/12,0)</f>
        <v/>
      </c>
      <c r="AD247" s="48">
        <f>IF(AB247&lt;=0,0,MIN(AB247+AC247,Plan!$E$28+AA247))</f>
        <v/>
      </c>
      <c r="AE247" s="50">
        <f>MAX(0,AB247+AC247-AD247)</f>
        <v/>
      </c>
      <c r="AF247" s="51">
        <f>AA247-IF(AB247&lt;=0,0,MAX(0,AD247-Plan!$E$28))</f>
        <v/>
      </c>
      <c r="AG247" s="50">
        <f>F247+K247+P247+U247+Z247+AE247</f>
        <v/>
      </c>
    </row>
  </sheetData>
  <mergeCells count="6">
    <mergeCell ref="C6:G6"/>
    <mergeCell ref="H6:L6"/>
    <mergeCell ref="R6:V6"/>
    <mergeCell ref="M6:Q6"/>
    <mergeCell ref="AB6:AF6"/>
    <mergeCell ref="W6:AA6"/>
  </mergeCells>
  <conditionalFormatting sqref="E8:E247">
    <cfRule type="expression" priority="1" dxfId="1">
      <formula>AND(C8&gt;0,E8&gt;Plan!$E$23+0.005)</formula>
    </cfRule>
  </conditionalFormatting>
  <conditionalFormatting sqref="C8:G247">
    <cfRule type="expression" priority="2" dxfId="2">
      <formula>C8&lt;=0</formula>
    </cfRule>
  </conditionalFormatting>
  <conditionalFormatting sqref="J8:J247">
    <cfRule type="expression" priority="3" dxfId="1">
      <formula>AND(H8&gt;0,J8&gt;Plan!$E$24+0.005)</formula>
    </cfRule>
  </conditionalFormatting>
  <conditionalFormatting sqref="H8:L247">
    <cfRule type="expression" priority="4" dxfId="2">
      <formula>H8&lt;=0</formula>
    </cfRule>
  </conditionalFormatting>
  <conditionalFormatting sqref="O8:O247">
    <cfRule type="expression" priority="5" dxfId="1">
      <formula>AND(M8&gt;0,O8&gt;Plan!$E$25+0.005)</formula>
    </cfRule>
  </conditionalFormatting>
  <conditionalFormatting sqref="M8:Q247">
    <cfRule type="expression" priority="6" dxfId="2">
      <formula>M8&lt;=0</formula>
    </cfRule>
  </conditionalFormatting>
  <conditionalFormatting sqref="T8:T247">
    <cfRule type="expression" priority="7" dxfId="1">
      <formula>AND(R8&gt;0,T8&gt;Plan!$E$26+0.005)</formula>
    </cfRule>
  </conditionalFormatting>
  <conditionalFormatting sqref="R8:V247">
    <cfRule type="expression" priority="8" dxfId="2">
      <formula>R8&lt;=0</formula>
    </cfRule>
  </conditionalFormatting>
  <conditionalFormatting sqref="Y8:Y247">
    <cfRule type="expression" priority="9" dxfId="1">
      <formula>AND(W8&gt;0,Y8&gt;Plan!$E$27+0.005)</formula>
    </cfRule>
  </conditionalFormatting>
  <conditionalFormatting sqref="W8:AA247">
    <cfRule type="expression" priority="10" dxfId="2">
      <formula>W8&lt;=0</formula>
    </cfRule>
  </conditionalFormatting>
  <conditionalFormatting sqref="AD8:AD247">
    <cfRule type="expression" priority="11" dxfId="1">
      <formula>AND(AB8&gt;0,AD8&gt;Plan!$E$28+0.005)</formula>
    </cfRule>
  </conditionalFormatting>
  <conditionalFormatting sqref="AB8:AF247">
    <cfRule type="expression" priority="12" dxfId="2">
      <formula>AB8&lt;=0</formula>
    </cfRule>
  </conditionalFormatting>
  <conditionalFormatting sqref="A8:AG247">
    <cfRule type="expression" priority="13" dxfId="2">
      <formula>$AG8&lt;=0</formula>
    </cfRule>
  </conditionalFormatting>
  <pageMargins left="0.75" right="0.75" top="1" bottom="1" header="0.5" footer="0.5"/>
</worksheet>
</file>

<file path=xl/worksheets/sheet3.xml><?xml version="1.0" encoding="utf-8"?>
<worksheet xmlns="http://schemas.openxmlformats.org/spreadsheetml/2006/main">
  <sheetPr>
    <tabColor rgb="006B6580"/>
    <outlinePr summaryBelow="1" summaryRight="1"/>
    <pageSetUpPr/>
  </sheetPr>
  <dimension ref="A1:AA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3" customWidth="1" min="27" max="27"/>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row>
    <row r="2" ht="16" customHeight="1">
      <c r="A2" s="1" t="n"/>
      <c r="B2" s="2" t="inlineStr">
        <is>
          <t>[ DEBTLESS ]  THE OTHER ROAD</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row>
    <row r="3" ht="34" customHeight="1">
      <c r="A3" s="1" t="n"/>
      <c r="B3" s="3" t="inlineStr">
        <is>
          <t>Minimums only.</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row>
    <row r="4" ht="20" customHeight="1">
      <c r="A4" s="1" t="n"/>
      <c r="B4" s="4" t="inlineStr">
        <is>
          <t>What happens if you pay just the minimum on every debt and never roll anything forward.</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row>
    <row r="6">
      <c r="C6" s="35">
        <f>IF(Plan!$B$23="","(empty slot)",Plan!$B$23)</f>
        <v/>
      </c>
      <c r="D6" s="36" t="n"/>
      <c r="E6" s="36" t="n"/>
      <c r="F6" s="36" t="n"/>
      <c r="G6" s="37">
        <f>IF(Plan!$B$24="","(empty slot)",Plan!$B$24)</f>
        <v/>
      </c>
      <c r="H6" s="38" t="n"/>
      <c r="I6" s="38" t="n"/>
      <c r="J6" s="38" t="n"/>
      <c r="K6" s="35">
        <f>IF(Plan!$B$25="","(empty slot)",Plan!$B$25)</f>
        <v/>
      </c>
      <c r="L6" s="36" t="n"/>
      <c r="M6" s="36" t="n"/>
      <c r="N6" s="36" t="n"/>
      <c r="O6" s="37">
        <f>IF(Plan!$B$26="","(empty slot)",Plan!$B$26)</f>
        <v/>
      </c>
      <c r="P6" s="38" t="n"/>
      <c r="Q6" s="38" t="n"/>
      <c r="R6" s="38" t="n"/>
      <c r="S6" s="35">
        <f>IF(Plan!$B$27="","(empty slot)",Plan!$B$27)</f>
        <v/>
      </c>
      <c r="T6" s="36" t="n"/>
      <c r="U6" s="36" t="n"/>
      <c r="V6" s="36" t="n"/>
      <c r="W6" s="37">
        <f>IF(Plan!$B$28="","(empty slot)",Plan!$B$28)</f>
        <v/>
      </c>
      <c r="X6" s="38" t="n"/>
      <c r="Y6" s="38" t="n"/>
      <c r="Z6" s="38" t="n"/>
    </row>
    <row r="7">
      <c r="A7" s="39" t="inlineStr">
        <is>
          <t>Month</t>
        </is>
      </c>
      <c r="B7" s="39" t="inlineStr">
        <is>
          <t>Date</t>
        </is>
      </c>
      <c r="C7" s="39" t="inlineStr">
        <is>
          <t>Start</t>
        </is>
      </c>
      <c r="D7" s="39" t="inlineStr">
        <is>
          <t>Interest</t>
        </is>
      </c>
      <c r="E7" s="39" t="inlineStr">
        <is>
          <t>Payment</t>
        </is>
      </c>
      <c r="F7" s="39" t="inlineStr">
        <is>
          <t>End</t>
        </is>
      </c>
      <c r="G7" s="39" t="inlineStr">
        <is>
          <t>Start</t>
        </is>
      </c>
      <c r="H7" s="39" t="inlineStr">
        <is>
          <t>Interest</t>
        </is>
      </c>
      <c r="I7" s="39" t="inlineStr">
        <is>
          <t>Payment</t>
        </is>
      </c>
      <c r="J7" s="39" t="inlineStr">
        <is>
          <t>End</t>
        </is>
      </c>
      <c r="K7" s="39" t="inlineStr">
        <is>
          <t>Start</t>
        </is>
      </c>
      <c r="L7" s="39" t="inlineStr">
        <is>
          <t>Interest</t>
        </is>
      </c>
      <c r="M7" s="39" t="inlineStr">
        <is>
          <t>Payment</t>
        </is>
      </c>
      <c r="N7" s="39" t="inlineStr">
        <is>
          <t>End</t>
        </is>
      </c>
      <c r="O7" s="39" t="inlineStr">
        <is>
          <t>Start</t>
        </is>
      </c>
      <c r="P7" s="39" t="inlineStr">
        <is>
          <t>Interest</t>
        </is>
      </c>
      <c r="Q7" s="39" t="inlineStr">
        <is>
          <t>Payment</t>
        </is>
      </c>
      <c r="R7" s="39" t="inlineStr">
        <is>
          <t>End</t>
        </is>
      </c>
      <c r="S7" s="39" t="inlineStr">
        <is>
          <t>Start</t>
        </is>
      </c>
      <c r="T7" s="39" t="inlineStr">
        <is>
          <t>Interest</t>
        </is>
      </c>
      <c r="U7" s="39" t="inlineStr">
        <is>
          <t>Payment</t>
        </is>
      </c>
      <c r="V7" s="39" t="inlineStr">
        <is>
          <t>End</t>
        </is>
      </c>
      <c r="W7" s="39" t="inlineStr">
        <is>
          <t>Start</t>
        </is>
      </c>
      <c r="X7" s="39" t="inlineStr">
        <is>
          <t>Interest</t>
        </is>
      </c>
      <c r="Y7" s="39" t="inlineStr">
        <is>
          <t>Payment</t>
        </is>
      </c>
      <c r="Z7" s="39" t="inlineStr">
        <is>
          <t>End</t>
        </is>
      </c>
      <c r="AA7" s="39" t="inlineStr">
        <is>
          <t>Total owed</t>
        </is>
      </c>
    </row>
    <row r="8">
      <c r="A8" s="40" t="n">
        <v>1</v>
      </c>
      <c r="B8" s="41">
        <f>EDATE(Plan!$C$18,0)</f>
        <v/>
      </c>
      <c r="C8" s="42">
        <f>Plan!$C$23</f>
        <v/>
      </c>
      <c r="D8" s="43">
        <f>IF(C8&gt;0,C8*Plan!$D$23/100/12,0)</f>
        <v/>
      </c>
      <c r="E8" s="42">
        <f>IF(C8&lt;=0,0,MIN(C8+D8,Plan!$E$23))</f>
        <v/>
      </c>
      <c r="F8" s="44">
        <f>MAX(0,C8+D8-E8)</f>
        <v/>
      </c>
      <c r="G8" s="42">
        <f>Plan!$C$24</f>
        <v/>
      </c>
      <c r="H8" s="43">
        <f>IF(G8&gt;0,G8*Plan!$D$24/100/12,0)</f>
        <v/>
      </c>
      <c r="I8" s="42">
        <f>IF(G8&lt;=0,0,MIN(G8+H8,Plan!$E$24))</f>
        <v/>
      </c>
      <c r="J8" s="44">
        <f>MAX(0,G8+H8-I8)</f>
        <v/>
      </c>
      <c r="K8" s="42">
        <f>Plan!$C$25</f>
        <v/>
      </c>
      <c r="L8" s="43">
        <f>IF(K8&gt;0,K8*Plan!$D$25/100/12,0)</f>
        <v/>
      </c>
      <c r="M8" s="42">
        <f>IF(K8&lt;=0,0,MIN(K8+L8,Plan!$E$25))</f>
        <v/>
      </c>
      <c r="N8" s="44">
        <f>MAX(0,K8+L8-M8)</f>
        <v/>
      </c>
      <c r="O8" s="42">
        <f>Plan!$C$26</f>
        <v/>
      </c>
      <c r="P8" s="43">
        <f>IF(O8&gt;0,O8*Plan!$D$26/100/12,0)</f>
        <v/>
      </c>
      <c r="Q8" s="42">
        <f>IF(O8&lt;=0,0,MIN(O8+P8,Plan!$E$26))</f>
        <v/>
      </c>
      <c r="R8" s="44">
        <f>MAX(0,O8+P8-Q8)</f>
        <v/>
      </c>
      <c r="S8" s="42">
        <f>Plan!$C$27</f>
        <v/>
      </c>
      <c r="T8" s="43">
        <f>IF(S8&gt;0,S8*Plan!$D$27/100/12,0)</f>
        <v/>
      </c>
      <c r="U8" s="42">
        <f>IF(S8&lt;=0,0,MIN(S8+T8,Plan!$E$27))</f>
        <v/>
      </c>
      <c r="V8" s="44">
        <f>MAX(0,S8+T8-U8)</f>
        <v/>
      </c>
      <c r="W8" s="42">
        <f>Plan!$C$28</f>
        <v/>
      </c>
      <c r="X8" s="43">
        <f>IF(W8&gt;0,W8*Plan!$D$28/100/12,0)</f>
        <v/>
      </c>
      <c r="Y8" s="42">
        <f>IF(W8&lt;=0,0,MIN(W8+X8,Plan!$E$28))</f>
        <v/>
      </c>
      <c r="Z8" s="44">
        <f>MAX(0,W8+X8-Y8)</f>
        <v/>
      </c>
      <c r="AA8" s="44">
        <f>F8+J8+N8+R8+V8+Z8</f>
        <v/>
      </c>
    </row>
    <row r="9">
      <c r="A9" s="46" t="n">
        <v>2</v>
      </c>
      <c r="B9" s="47">
        <f>EDATE(Plan!$C$18,1)</f>
        <v/>
      </c>
      <c r="C9" s="48">
        <f>F8</f>
        <v/>
      </c>
      <c r="D9" s="49">
        <f>IF(C9&gt;0,C9*Plan!$D$23/100/12,0)</f>
        <v/>
      </c>
      <c r="E9" s="48">
        <f>IF(C9&lt;=0,0,MIN(C9+D9,Plan!$E$23))</f>
        <v/>
      </c>
      <c r="F9" s="50">
        <f>MAX(0,C9+D9-E9)</f>
        <v/>
      </c>
      <c r="G9" s="48">
        <f>J8</f>
        <v/>
      </c>
      <c r="H9" s="49">
        <f>IF(G9&gt;0,G9*Plan!$D$24/100/12,0)</f>
        <v/>
      </c>
      <c r="I9" s="48">
        <f>IF(G9&lt;=0,0,MIN(G9+H9,Plan!$E$24))</f>
        <v/>
      </c>
      <c r="J9" s="50">
        <f>MAX(0,G9+H9-I9)</f>
        <v/>
      </c>
      <c r="K9" s="48">
        <f>N8</f>
        <v/>
      </c>
      <c r="L9" s="49">
        <f>IF(K9&gt;0,K9*Plan!$D$25/100/12,0)</f>
        <v/>
      </c>
      <c r="M9" s="48">
        <f>IF(K9&lt;=0,0,MIN(K9+L9,Plan!$E$25))</f>
        <v/>
      </c>
      <c r="N9" s="50">
        <f>MAX(0,K9+L9-M9)</f>
        <v/>
      </c>
      <c r="O9" s="48">
        <f>R8</f>
        <v/>
      </c>
      <c r="P9" s="49">
        <f>IF(O9&gt;0,O9*Plan!$D$26/100/12,0)</f>
        <v/>
      </c>
      <c r="Q9" s="48">
        <f>IF(O9&lt;=0,0,MIN(O9+P9,Plan!$E$26))</f>
        <v/>
      </c>
      <c r="R9" s="50">
        <f>MAX(0,O9+P9-Q9)</f>
        <v/>
      </c>
      <c r="S9" s="48">
        <f>V8</f>
        <v/>
      </c>
      <c r="T9" s="49">
        <f>IF(S9&gt;0,S9*Plan!$D$27/100/12,0)</f>
        <v/>
      </c>
      <c r="U9" s="48">
        <f>IF(S9&lt;=0,0,MIN(S9+T9,Plan!$E$27))</f>
        <v/>
      </c>
      <c r="V9" s="50">
        <f>MAX(0,S9+T9-U9)</f>
        <v/>
      </c>
      <c r="W9" s="48">
        <f>Z8</f>
        <v/>
      </c>
      <c r="X9" s="49">
        <f>IF(W9&gt;0,W9*Plan!$D$28/100/12,0)</f>
        <v/>
      </c>
      <c r="Y9" s="48">
        <f>IF(W9&lt;=0,0,MIN(W9+X9,Plan!$E$28))</f>
        <v/>
      </c>
      <c r="Z9" s="50">
        <f>MAX(0,W9+X9-Y9)</f>
        <v/>
      </c>
      <c r="AA9" s="50">
        <f>F9+J9+N9+R9+V9+Z9</f>
        <v/>
      </c>
    </row>
    <row r="10">
      <c r="A10" s="40" t="n">
        <v>3</v>
      </c>
      <c r="B10" s="41">
        <f>EDATE(Plan!$C$18,2)</f>
        <v/>
      </c>
      <c r="C10" s="42">
        <f>F9</f>
        <v/>
      </c>
      <c r="D10" s="43">
        <f>IF(C10&gt;0,C10*Plan!$D$23/100/12,0)</f>
        <v/>
      </c>
      <c r="E10" s="42">
        <f>IF(C10&lt;=0,0,MIN(C10+D10,Plan!$E$23))</f>
        <v/>
      </c>
      <c r="F10" s="44">
        <f>MAX(0,C10+D10-E10)</f>
        <v/>
      </c>
      <c r="G10" s="42">
        <f>J9</f>
        <v/>
      </c>
      <c r="H10" s="43">
        <f>IF(G10&gt;0,G10*Plan!$D$24/100/12,0)</f>
        <v/>
      </c>
      <c r="I10" s="42">
        <f>IF(G10&lt;=0,0,MIN(G10+H10,Plan!$E$24))</f>
        <v/>
      </c>
      <c r="J10" s="44">
        <f>MAX(0,G10+H10-I10)</f>
        <v/>
      </c>
      <c r="K10" s="42">
        <f>N9</f>
        <v/>
      </c>
      <c r="L10" s="43">
        <f>IF(K10&gt;0,K10*Plan!$D$25/100/12,0)</f>
        <v/>
      </c>
      <c r="M10" s="42">
        <f>IF(K10&lt;=0,0,MIN(K10+L10,Plan!$E$25))</f>
        <v/>
      </c>
      <c r="N10" s="44">
        <f>MAX(0,K10+L10-M10)</f>
        <v/>
      </c>
      <c r="O10" s="42">
        <f>R9</f>
        <v/>
      </c>
      <c r="P10" s="43">
        <f>IF(O10&gt;0,O10*Plan!$D$26/100/12,0)</f>
        <v/>
      </c>
      <c r="Q10" s="42">
        <f>IF(O10&lt;=0,0,MIN(O10+P10,Plan!$E$26))</f>
        <v/>
      </c>
      <c r="R10" s="44">
        <f>MAX(0,O10+P10-Q10)</f>
        <v/>
      </c>
      <c r="S10" s="42">
        <f>V9</f>
        <v/>
      </c>
      <c r="T10" s="43">
        <f>IF(S10&gt;0,S10*Plan!$D$27/100/12,0)</f>
        <v/>
      </c>
      <c r="U10" s="42">
        <f>IF(S10&lt;=0,0,MIN(S10+T10,Plan!$E$27))</f>
        <v/>
      </c>
      <c r="V10" s="44">
        <f>MAX(0,S10+T10-U10)</f>
        <v/>
      </c>
      <c r="W10" s="42">
        <f>Z9</f>
        <v/>
      </c>
      <c r="X10" s="43">
        <f>IF(W10&gt;0,W10*Plan!$D$28/100/12,0)</f>
        <v/>
      </c>
      <c r="Y10" s="42">
        <f>IF(W10&lt;=0,0,MIN(W10+X10,Plan!$E$28))</f>
        <v/>
      </c>
      <c r="Z10" s="44">
        <f>MAX(0,W10+X10-Y10)</f>
        <v/>
      </c>
      <c r="AA10" s="44">
        <f>F10+J10+N10+R10+V10+Z10</f>
        <v/>
      </c>
    </row>
    <row r="11">
      <c r="A11" s="46" t="n">
        <v>4</v>
      </c>
      <c r="B11" s="47">
        <f>EDATE(Plan!$C$18,3)</f>
        <v/>
      </c>
      <c r="C11" s="48">
        <f>F10</f>
        <v/>
      </c>
      <c r="D11" s="49">
        <f>IF(C11&gt;0,C11*Plan!$D$23/100/12,0)</f>
        <v/>
      </c>
      <c r="E11" s="48">
        <f>IF(C11&lt;=0,0,MIN(C11+D11,Plan!$E$23))</f>
        <v/>
      </c>
      <c r="F11" s="50">
        <f>MAX(0,C11+D11-E11)</f>
        <v/>
      </c>
      <c r="G11" s="48">
        <f>J10</f>
        <v/>
      </c>
      <c r="H11" s="49">
        <f>IF(G11&gt;0,G11*Plan!$D$24/100/12,0)</f>
        <v/>
      </c>
      <c r="I11" s="48">
        <f>IF(G11&lt;=0,0,MIN(G11+H11,Plan!$E$24))</f>
        <v/>
      </c>
      <c r="J11" s="50">
        <f>MAX(0,G11+H11-I11)</f>
        <v/>
      </c>
      <c r="K11" s="48">
        <f>N10</f>
        <v/>
      </c>
      <c r="L11" s="49">
        <f>IF(K11&gt;0,K11*Plan!$D$25/100/12,0)</f>
        <v/>
      </c>
      <c r="M11" s="48">
        <f>IF(K11&lt;=0,0,MIN(K11+L11,Plan!$E$25))</f>
        <v/>
      </c>
      <c r="N11" s="50">
        <f>MAX(0,K11+L11-M11)</f>
        <v/>
      </c>
      <c r="O11" s="48">
        <f>R10</f>
        <v/>
      </c>
      <c r="P11" s="49">
        <f>IF(O11&gt;0,O11*Plan!$D$26/100/12,0)</f>
        <v/>
      </c>
      <c r="Q11" s="48">
        <f>IF(O11&lt;=0,0,MIN(O11+P11,Plan!$E$26))</f>
        <v/>
      </c>
      <c r="R11" s="50">
        <f>MAX(0,O11+P11-Q11)</f>
        <v/>
      </c>
      <c r="S11" s="48">
        <f>V10</f>
        <v/>
      </c>
      <c r="T11" s="49">
        <f>IF(S11&gt;0,S11*Plan!$D$27/100/12,0)</f>
        <v/>
      </c>
      <c r="U11" s="48">
        <f>IF(S11&lt;=0,0,MIN(S11+T11,Plan!$E$27))</f>
        <v/>
      </c>
      <c r="V11" s="50">
        <f>MAX(0,S11+T11-U11)</f>
        <v/>
      </c>
      <c r="W11" s="48">
        <f>Z10</f>
        <v/>
      </c>
      <c r="X11" s="49">
        <f>IF(W11&gt;0,W11*Plan!$D$28/100/12,0)</f>
        <v/>
      </c>
      <c r="Y11" s="48">
        <f>IF(W11&lt;=0,0,MIN(W11+X11,Plan!$E$28))</f>
        <v/>
      </c>
      <c r="Z11" s="50">
        <f>MAX(0,W11+X11-Y11)</f>
        <v/>
      </c>
      <c r="AA11" s="50">
        <f>F11+J11+N11+R11+V11+Z11</f>
        <v/>
      </c>
    </row>
    <row r="12">
      <c r="A12" s="40" t="n">
        <v>5</v>
      </c>
      <c r="B12" s="41">
        <f>EDATE(Plan!$C$18,4)</f>
        <v/>
      </c>
      <c r="C12" s="42">
        <f>F11</f>
        <v/>
      </c>
      <c r="D12" s="43">
        <f>IF(C12&gt;0,C12*Plan!$D$23/100/12,0)</f>
        <v/>
      </c>
      <c r="E12" s="42">
        <f>IF(C12&lt;=0,0,MIN(C12+D12,Plan!$E$23))</f>
        <v/>
      </c>
      <c r="F12" s="44">
        <f>MAX(0,C12+D12-E12)</f>
        <v/>
      </c>
      <c r="G12" s="42">
        <f>J11</f>
        <v/>
      </c>
      <c r="H12" s="43">
        <f>IF(G12&gt;0,G12*Plan!$D$24/100/12,0)</f>
        <v/>
      </c>
      <c r="I12" s="42">
        <f>IF(G12&lt;=0,0,MIN(G12+H12,Plan!$E$24))</f>
        <v/>
      </c>
      <c r="J12" s="44">
        <f>MAX(0,G12+H12-I12)</f>
        <v/>
      </c>
      <c r="K12" s="42">
        <f>N11</f>
        <v/>
      </c>
      <c r="L12" s="43">
        <f>IF(K12&gt;0,K12*Plan!$D$25/100/12,0)</f>
        <v/>
      </c>
      <c r="M12" s="42">
        <f>IF(K12&lt;=0,0,MIN(K12+L12,Plan!$E$25))</f>
        <v/>
      </c>
      <c r="N12" s="44">
        <f>MAX(0,K12+L12-M12)</f>
        <v/>
      </c>
      <c r="O12" s="42">
        <f>R11</f>
        <v/>
      </c>
      <c r="P12" s="43">
        <f>IF(O12&gt;0,O12*Plan!$D$26/100/12,0)</f>
        <v/>
      </c>
      <c r="Q12" s="42">
        <f>IF(O12&lt;=0,0,MIN(O12+P12,Plan!$E$26))</f>
        <v/>
      </c>
      <c r="R12" s="44">
        <f>MAX(0,O12+P12-Q12)</f>
        <v/>
      </c>
      <c r="S12" s="42">
        <f>V11</f>
        <v/>
      </c>
      <c r="T12" s="43">
        <f>IF(S12&gt;0,S12*Plan!$D$27/100/12,0)</f>
        <v/>
      </c>
      <c r="U12" s="42">
        <f>IF(S12&lt;=0,0,MIN(S12+T12,Plan!$E$27))</f>
        <v/>
      </c>
      <c r="V12" s="44">
        <f>MAX(0,S12+T12-U12)</f>
        <v/>
      </c>
      <c r="W12" s="42">
        <f>Z11</f>
        <v/>
      </c>
      <c r="X12" s="43">
        <f>IF(W12&gt;0,W12*Plan!$D$28/100/12,0)</f>
        <v/>
      </c>
      <c r="Y12" s="42">
        <f>IF(W12&lt;=0,0,MIN(W12+X12,Plan!$E$28))</f>
        <v/>
      </c>
      <c r="Z12" s="44">
        <f>MAX(0,W12+X12-Y12)</f>
        <v/>
      </c>
      <c r="AA12" s="44">
        <f>F12+J12+N12+R12+V12+Z12</f>
        <v/>
      </c>
    </row>
    <row r="13">
      <c r="A13" s="46" t="n">
        <v>6</v>
      </c>
      <c r="B13" s="47">
        <f>EDATE(Plan!$C$18,5)</f>
        <v/>
      </c>
      <c r="C13" s="48">
        <f>F12</f>
        <v/>
      </c>
      <c r="D13" s="49">
        <f>IF(C13&gt;0,C13*Plan!$D$23/100/12,0)</f>
        <v/>
      </c>
      <c r="E13" s="48">
        <f>IF(C13&lt;=0,0,MIN(C13+D13,Plan!$E$23))</f>
        <v/>
      </c>
      <c r="F13" s="50">
        <f>MAX(0,C13+D13-E13)</f>
        <v/>
      </c>
      <c r="G13" s="48">
        <f>J12</f>
        <v/>
      </c>
      <c r="H13" s="49">
        <f>IF(G13&gt;0,G13*Plan!$D$24/100/12,0)</f>
        <v/>
      </c>
      <c r="I13" s="48">
        <f>IF(G13&lt;=0,0,MIN(G13+H13,Plan!$E$24))</f>
        <v/>
      </c>
      <c r="J13" s="50">
        <f>MAX(0,G13+H13-I13)</f>
        <v/>
      </c>
      <c r="K13" s="48">
        <f>N12</f>
        <v/>
      </c>
      <c r="L13" s="49">
        <f>IF(K13&gt;0,K13*Plan!$D$25/100/12,0)</f>
        <v/>
      </c>
      <c r="M13" s="48">
        <f>IF(K13&lt;=0,0,MIN(K13+L13,Plan!$E$25))</f>
        <v/>
      </c>
      <c r="N13" s="50">
        <f>MAX(0,K13+L13-M13)</f>
        <v/>
      </c>
      <c r="O13" s="48">
        <f>R12</f>
        <v/>
      </c>
      <c r="P13" s="49">
        <f>IF(O13&gt;0,O13*Plan!$D$26/100/12,0)</f>
        <v/>
      </c>
      <c r="Q13" s="48">
        <f>IF(O13&lt;=0,0,MIN(O13+P13,Plan!$E$26))</f>
        <v/>
      </c>
      <c r="R13" s="50">
        <f>MAX(0,O13+P13-Q13)</f>
        <v/>
      </c>
      <c r="S13" s="48">
        <f>V12</f>
        <v/>
      </c>
      <c r="T13" s="49">
        <f>IF(S13&gt;0,S13*Plan!$D$27/100/12,0)</f>
        <v/>
      </c>
      <c r="U13" s="48">
        <f>IF(S13&lt;=0,0,MIN(S13+T13,Plan!$E$27))</f>
        <v/>
      </c>
      <c r="V13" s="50">
        <f>MAX(0,S13+T13-U13)</f>
        <v/>
      </c>
      <c r="W13" s="48">
        <f>Z12</f>
        <v/>
      </c>
      <c r="X13" s="49">
        <f>IF(W13&gt;0,W13*Plan!$D$28/100/12,0)</f>
        <v/>
      </c>
      <c r="Y13" s="48">
        <f>IF(W13&lt;=0,0,MIN(W13+X13,Plan!$E$28))</f>
        <v/>
      </c>
      <c r="Z13" s="50">
        <f>MAX(0,W13+X13-Y13)</f>
        <v/>
      </c>
      <c r="AA13" s="50">
        <f>F13+J13+N13+R13+V13+Z13</f>
        <v/>
      </c>
    </row>
    <row r="14">
      <c r="A14" s="40" t="n">
        <v>7</v>
      </c>
      <c r="B14" s="41">
        <f>EDATE(Plan!$C$18,6)</f>
        <v/>
      </c>
      <c r="C14" s="42">
        <f>F13</f>
        <v/>
      </c>
      <c r="D14" s="43">
        <f>IF(C14&gt;0,C14*Plan!$D$23/100/12,0)</f>
        <v/>
      </c>
      <c r="E14" s="42">
        <f>IF(C14&lt;=0,0,MIN(C14+D14,Plan!$E$23))</f>
        <v/>
      </c>
      <c r="F14" s="44">
        <f>MAX(0,C14+D14-E14)</f>
        <v/>
      </c>
      <c r="G14" s="42">
        <f>J13</f>
        <v/>
      </c>
      <c r="H14" s="43">
        <f>IF(G14&gt;0,G14*Plan!$D$24/100/12,0)</f>
        <v/>
      </c>
      <c r="I14" s="42">
        <f>IF(G14&lt;=0,0,MIN(G14+H14,Plan!$E$24))</f>
        <v/>
      </c>
      <c r="J14" s="44">
        <f>MAX(0,G14+H14-I14)</f>
        <v/>
      </c>
      <c r="K14" s="42">
        <f>N13</f>
        <v/>
      </c>
      <c r="L14" s="43">
        <f>IF(K14&gt;0,K14*Plan!$D$25/100/12,0)</f>
        <v/>
      </c>
      <c r="M14" s="42">
        <f>IF(K14&lt;=0,0,MIN(K14+L14,Plan!$E$25))</f>
        <v/>
      </c>
      <c r="N14" s="44">
        <f>MAX(0,K14+L14-M14)</f>
        <v/>
      </c>
      <c r="O14" s="42">
        <f>R13</f>
        <v/>
      </c>
      <c r="P14" s="43">
        <f>IF(O14&gt;0,O14*Plan!$D$26/100/12,0)</f>
        <v/>
      </c>
      <c r="Q14" s="42">
        <f>IF(O14&lt;=0,0,MIN(O14+P14,Plan!$E$26))</f>
        <v/>
      </c>
      <c r="R14" s="44">
        <f>MAX(0,O14+P14-Q14)</f>
        <v/>
      </c>
      <c r="S14" s="42">
        <f>V13</f>
        <v/>
      </c>
      <c r="T14" s="43">
        <f>IF(S14&gt;0,S14*Plan!$D$27/100/12,0)</f>
        <v/>
      </c>
      <c r="U14" s="42">
        <f>IF(S14&lt;=0,0,MIN(S14+T14,Plan!$E$27))</f>
        <v/>
      </c>
      <c r="V14" s="44">
        <f>MAX(0,S14+T14-U14)</f>
        <v/>
      </c>
      <c r="W14" s="42">
        <f>Z13</f>
        <v/>
      </c>
      <c r="X14" s="43">
        <f>IF(W14&gt;0,W14*Plan!$D$28/100/12,0)</f>
        <v/>
      </c>
      <c r="Y14" s="42">
        <f>IF(W14&lt;=0,0,MIN(W14+X14,Plan!$E$28))</f>
        <v/>
      </c>
      <c r="Z14" s="44">
        <f>MAX(0,W14+X14-Y14)</f>
        <v/>
      </c>
      <c r="AA14" s="44">
        <f>F14+J14+N14+R14+V14+Z14</f>
        <v/>
      </c>
    </row>
    <row r="15">
      <c r="A15" s="46" t="n">
        <v>8</v>
      </c>
      <c r="B15" s="47">
        <f>EDATE(Plan!$C$18,7)</f>
        <v/>
      </c>
      <c r="C15" s="48">
        <f>F14</f>
        <v/>
      </c>
      <c r="D15" s="49">
        <f>IF(C15&gt;0,C15*Plan!$D$23/100/12,0)</f>
        <v/>
      </c>
      <c r="E15" s="48">
        <f>IF(C15&lt;=0,0,MIN(C15+D15,Plan!$E$23))</f>
        <v/>
      </c>
      <c r="F15" s="50">
        <f>MAX(0,C15+D15-E15)</f>
        <v/>
      </c>
      <c r="G15" s="48">
        <f>J14</f>
        <v/>
      </c>
      <c r="H15" s="49">
        <f>IF(G15&gt;0,G15*Plan!$D$24/100/12,0)</f>
        <v/>
      </c>
      <c r="I15" s="48">
        <f>IF(G15&lt;=0,0,MIN(G15+H15,Plan!$E$24))</f>
        <v/>
      </c>
      <c r="J15" s="50">
        <f>MAX(0,G15+H15-I15)</f>
        <v/>
      </c>
      <c r="K15" s="48">
        <f>N14</f>
        <v/>
      </c>
      <c r="L15" s="49">
        <f>IF(K15&gt;0,K15*Plan!$D$25/100/12,0)</f>
        <v/>
      </c>
      <c r="M15" s="48">
        <f>IF(K15&lt;=0,0,MIN(K15+L15,Plan!$E$25))</f>
        <v/>
      </c>
      <c r="N15" s="50">
        <f>MAX(0,K15+L15-M15)</f>
        <v/>
      </c>
      <c r="O15" s="48">
        <f>R14</f>
        <v/>
      </c>
      <c r="P15" s="49">
        <f>IF(O15&gt;0,O15*Plan!$D$26/100/12,0)</f>
        <v/>
      </c>
      <c r="Q15" s="48">
        <f>IF(O15&lt;=0,0,MIN(O15+P15,Plan!$E$26))</f>
        <v/>
      </c>
      <c r="R15" s="50">
        <f>MAX(0,O15+P15-Q15)</f>
        <v/>
      </c>
      <c r="S15" s="48">
        <f>V14</f>
        <v/>
      </c>
      <c r="T15" s="49">
        <f>IF(S15&gt;0,S15*Plan!$D$27/100/12,0)</f>
        <v/>
      </c>
      <c r="U15" s="48">
        <f>IF(S15&lt;=0,0,MIN(S15+T15,Plan!$E$27))</f>
        <v/>
      </c>
      <c r="V15" s="50">
        <f>MAX(0,S15+T15-U15)</f>
        <v/>
      </c>
      <c r="W15" s="48">
        <f>Z14</f>
        <v/>
      </c>
      <c r="X15" s="49">
        <f>IF(W15&gt;0,W15*Plan!$D$28/100/12,0)</f>
        <v/>
      </c>
      <c r="Y15" s="48">
        <f>IF(W15&lt;=0,0,MIN(W15+X15,Plan!$E$28))</f>
        <v/>
      </c>
      <c r="Z15" s="50">
        <f>MAX(0,W15+X15-Y15)</f>
        <v/>
      </c>
      <c r="AA15" s="50">
        <f>F15+J15+N15+R15+V15+Z15</f>
        <v/>
      </c>
    </row>
    <row r="16">
      <c r="A16" s="40" t="n">
        <v>9</v>
      </c>
      <c r="B16" s="41">
        <f>EDATE(Plan!$C$18,8)</f>
        <v/>
      </c>
      <c r="C16" s="42">
        <f>F15</f>
        <v/>
      </c>
      <c r="D16" s="43">
        <f>IF(C16&gt;0,C16*Plan!$D$23/100/12,0)</f>
        <v/>
      </c>
      <c r="E16" s="42">
        <f>IF(C16&lt;=0,0,MIN(C16+D16,Plan!$E$23))</f>
        <v/>
      </c>
      <c r="F16" s="44">
        <f>MAX(0,C16+D16-E16)</f>
        <v/>
      </c>
      <c r="G16" s="42">
        <f>J15</f>
        <v/>
      </c>
      <c r="H16" s="43">
        <f>IF(G16&gt;0,G16*Plan!$D$24/100/12,0)</f>
        <v/>
      </c>
      <c r="I16" s="42">
        <f>IF(G16&lt;=0,0,MIN(G16+H16,Plan!$E$24))</f>
        <v/>
      </c>
      <c r="J16" s="44">
        <f>MAX(0,G16+H16-I16)</f>
        <v/>
      </c>
      <c r="K16" s="42">
        <f>N15</f>
        <v/>
      </c>
      <c r="L16" s="43">
        <f>IF(K16&gt;0,K16*Plan!$D$25/100/12,0)</f>
        <v/>
      </c>
      <c r="M16" s="42">
        <f>IF(K16&lt;=0,0,MIN(K16+L16,Plan!$E$25))</f>
        <v/>
      </c>
      <c r="N16" s="44">
        <f>MAX(0,K16+L16-M16)</f>
        <v/>
      </c>
      <c r="O16" s="42">
        <f>R15</f>
        <v/>
      </c>
      <c r="P16" s="43">
        <f>IF(O16&gt;0,O16*Plan!$D$26/100/12,0)</f>
        <v/>
      </c>
      <c r="Q16" s="42">
        <f>IF(O16&lt;=0,0,MIN(O16+P16,Plan!$E$26))</f>
        <v/>
      </c>
      <c r="R16" s="44">
        <f>MAX(0,O16+P16-Q16)</f>
        <v/>
      </c>
      <c r="S16" s="42">
        <f>V15</f>
        <v/>
      </c>
      <c r="T16" s="43">
        <f>IF(S16&gt;0,S16*Plan!$D$27/100/12,0)</f>
        <v/>
      </c>
      <c r="U16" s="42">
        <f>IF(S16&lt;=0,0,MIN(S16+T16,Plan!$E$27))</f>
        <v/>
      </c>
      <c r="V16" s="44">
        <f>MAX(0,S16+T16-U16)</f>
        <v/>
      </c>
      <c r="W16" s="42">
        <f>Z15</f>
        <v/>
      </c>
      <c r="X16" s="43">
        <f>IF(W16&gt;0,W16*Plan!$D$28/100/12,0)</f>
        <v/>
      </c>
      <c r="Y16" s="42">
        <f>IF(W16&lt;=0,0,MIN(W16+X16,Plan!$E$28))</f>
        <v/>
      </c>
      <c r="Z16" s="44">
        <f>MAX(0,W16+X16-Y16)</f>
        <v/>
      </c>
      <c r="AA16" s="44">
        <f>F16+J16+N16+R16+V16+Z16</f>
        <v/>
      </c>
    </row>
    <row r="17">
      <c r="A17" s="46" t="n">
        <v>10</v>
      </c>
      <c r="B17" s="47">
        <f>EDATE(Plan!$C$18,9)</f>
        <v/>
      </c>
      <c r="C17" s="48">
        <f>F16</f>
        <v/>
      </c>
      <c r="D17" s="49">
        <f>IF(C17&gt;0,C17*Plan!$D$23/100/12,0)</f>
        <v/>
      </c>
      <c r="E17" s="48">
        <f>IF(C17&lt;=0,0,MIN(C17+D17,Plan!$E$23))</f>
        <v/>
      </c>
      <c r="F17" s="50">
        <f>MAX(0,C17+D17-E17)</f>
        <v/>
      </c>
      <c r="G17" s="48">
        <f>J16</f>
        <v/>
      </c>
      <c r="H17" s="49">
        <f>IF(G17&gt;0,G17*Plan!$D$24/100/12,0)</f>
        <v/>
      </c>
      <c r="I17" s="48">
        <f>IF(G17&lt;=0,0,MIN(G17+H17,Plan!$E$24))</f>
        <v/>
      </c>
      <c r="J17" s="50">
        <f>MAX(0,G17+H17-I17)</f>
        <v/>
      </c>
      <c r="K17" s="48">
        <f>N16</f>
        <v/>
      </c>
      <c r="L17" s="49">
        <f>IF(K17&gt;0,K17*Plan!$D$25/100/12,0)</f>
        <v/>
      </c>
      <c r="M17" s="48">
        <f>IF(K17&lt;=0,0,MIN(K17+L17,Plan!$E$25))</f>
        <v/>
      </c>
      <c r="N17" s="50">
        <f>MAX(0,K17+L17-M17)</f>
        <v/>
      </c>
      <c r="O17" s="48">
        <f>R16</f>
        <v/>
      </c>
      <c r="P17" s="49">
        <f>IF(O17&gt;0,O17*Plan!$D$26/100/12,0)</f>
        <v/>
      </c>
      <c r="Q17" s="48">
        <f>IF(O17&lt;=0,0,MIN(O17+P17,Plan!$E$26))</f>
        <v/>
      </c>
      <c r="R17" s="50">
        <f>MAX(0,O17+P17-Q17)</f>
        <v/>
      </c>
      <c r="S17" s="48">
        <f>V16</f>
        <v/>
      </c>
      <c r="T17" s="49">
        <f>IF(S17&gt;0,S17*Plan!$D$27/100/12,0)</f>
        <v/>
      </c>
      <c r="U17" s="48">
        <f>IF(S17&lt;=0,0,MIN(S17+T17,Plan!$E$27))</f>
        <v/>
      </c>
      <c r="V17" s="50">
        <f>MAX(0,S17+T17-U17)</f>
        <v/>
      </c>
      <c r="W17" s="48">
        <f>Z16</f>
        <v/>
      </c>
      <c r="X17" s="49">
        <f>IF(W17&gt;0,W17*Plan!$D$28/100/12,0)</f>
        <v/>
      </c>
      <c r="Y17" s="48">
        <f>IF(W17&lt;=0,0,MIN(W17+X17,Plan!$E$28))</f>
        <v/>
      </c>
      <c r="Z17" s="50">
        <f>MAX(0,W17+X17-Y17)</f>
        <v/>
      </c>
      <c r="AA17" s="50">
        <f>F17+J17+N17+R17+V17+Z17</f>
        <v/>
      </c>
    </row>
    <row r="18">
      <c r="A18" s="40" t="n">
        <v>11</v>
      </c>
      <c r="B18" s="41">
        <f>EDATE(Plan!$C$18,10)</f>
        <v/>
      </c>
      <c r="C18" s="42">
        <f>F17</f>
        <v/>
      </c>
      <c r="D18" s="43">
        <f>IF(C18&gt;0,C18*Plan!$D$23/100/12,0)</f>
        <v/>
      </c>
      <c r="E18" s="42">
        <f>IF(C18&lt;=0,0,MIN(C18+D18,Plan!$E$23))</f>
        <v/>
      </c>
      <c r="F18" s="44">
        <f>MAX(0,C18+D18-E18)</f>
        <v/>
      </c>
      <c r="G18" s="42">
        <f>J17</f>
        <v/>
      </c>
      <c r="H18" s="43">
        <f>IF(G18&gt;0,G18*Plan!$D$24/100/12,0)</f>
        <v/>
      </c>
      <c r="I18" s="42">
        <f>IF(G18&lt;=0,0,MIN(G18+H18,Plan!$E$24))</f>
        <v/>
      </c>
      <c r="J18" s="44">
        <f>MAX(0,G18+H18-I18)</f>
        <v/>
      </c>
      <c r="K18" s="42">
        <f>N17</f>
        <v/>
      </c>
      <c r="L18" s="43">
        <f>IF(K18&gt;0,K18*Plan!$D$25/100/12,0)</f>
        <v/>
      </c>
      <c r="M18" s="42">
        <f>IF(K18&lt;=0,0,MIN(K18+L18,Plan!$E$25))</f>
        <v/>
      </c>
      <c r="N18" s="44">
        <f>MAX(0,K18+L18-M18)</f>
        <v/>
      </c>
      <c r="O18" s="42">
        <f>R17</f>
        <v/>
      </c>
      <c r="P18" s="43">
        <f>IF(O18&gt;0,O18*Plan!$D$26/100/12,0)</f>
        <v/>
      </c>
      <c r="Q18" s="42">
        <f>IF(O18&lt;=0,0,MIN(O18+P18,Plan!$E$26))</f>
        <v/>
      </c>
      <c r="R18" s="44">
        <f>MAX(0,O18+P18-Q18)</f>
        <v/>
      </c>
      <c r="S18" s="42">
        <f>V17</f>
        <v/>
      </c>
      <c r="T18" s="43">
        <f>IF(S18&gt;0,S18*Plan!$D$27/100/12,0)</f>
        <v/>
      </c>
      <c r="U18" s="42">
        <f>IF(S18&lt;=0,0,MIN(S18+T18,Plan!$E$27))</f>
        <v/>
      </c>
      <c r="V18" s="44">
        <f>MAX(0,S18+T18-U18)</f>
        <v/>
      </c>
      <c r="W18" s="42">
        <f>Z17</f>
        <v/>
      </c>
      <c r="X18" s="43">
        <f>IF(W18&gt;0,W18*Plan!$D$28/100/12,0)</f>
        <v/>
      </c>
      <c r="Y18" s="42">
        <f>IF(W18&lt;=0,0,MIN(W18+X18,Plan!$E$28))</f>
        <v/>
      </c>
      <c r="Z18" s="44">
        <f>MAX(0,W18+X18-Y18)</f>
        <v/>
      </c>
      <c r="AA18" s="44">
        <f>F18+J18+N18+R18+V18+Z18</f>
        <v/>
      </c>
    </row>
    <row r="19">
      <c r="A19" s="46" t="n">
        <v>12</v>
      </c>
      <c r="B19" s="47">
        <f>EDATE(Plan!$C$18,11)</f>
        <v/>
      </c>
      <c r="C19" s="48">
        <f>F18</f>
        <v/>
      </c>
      <c r="D19" s="49">
        <f>IF(C19&gt;0,C19*Plan!$D$23/100/12,0)</f>
        <v/>
      </c>
      <c r="E19" s="48">
        <f>IF(C19&lt;=0,0,MIN(C19+D19,Plan!$E$23))</f>
        <v/>
      </c>
      <c r="F19" s="50">
        <f>MAX(0,C19+D19-E19)</f>
        <v/>
      </c>
      <c r="G19" s="48">
        <f>J18</f>
        <v/>
      </c>
      <c r="H19" s="49">
        <f>IF(G19&gt;0,G19*Plan!$D$24/100/12,0)</f>
        <v/>
      </c>
      <c r="I19" s="48">
        <f>IF(G19&lt;=0,0,MIN(G19+H19,Plan!$E$24))</f>
        <v/>
      </c>
      <c r="J19" s="50">
        <f>MAX(0,G19+H19-I19)</f>
        <v/>
      </c>
      <c r="K19" s="48">
        <f>N18</f>
        <v/>
      </c>
      <c r="L19" s="49">
        <f>IF(K19&gt;0,K19*Plan!$D$25/100/12,0)</f>
        <v/>
      </c>
      <c r="M19" s="48">
        <f>IF(K19&lt;=0,0,MIN(K19+L19,Plan!$E$25))</f>
        <v/>
      </c>
      <c r="N19" s="50">
        <f>MAX(0,K19+L19-M19)</f>
        <v/>
      </c>
      <c r="O19" s="48">
        <f>R18</f>
        <v/>
      </c>
      <c r="P19" s="49">
        <f>IF(O19&gt;0,O19*Plan!$D$26/100/12,0)</f>
        <v/>
      </c>
      <c r="Q19" s="48">
        <f>IF(O19&lt;=0,0,MIN(O19+P19,Plan!$E$26))</f>
        <v/>
      </c>
      <c r="R19" s="50">
        <f>MAX(0,O19+P19-Q19)</f>
        <v/>
      </c>
      <c r="S19" s="48">
        <f>V18</f>
        <v/>
      </c>
      <c r="T19" s="49">
        <f>IF(S19&gt;0,S19*Plan!$D$27/100/12,0)</f>
        <v/>
      </c>
      <c r="U19" s="48">
        <f>IF(S19&lt;=0,0,MIN(S19+T19,Plan!$E$27))</f>
        <v/>
      </c>
      <c r="V19" s="50">
        <f>MAX(0,S19+T19-U19)</f>
        <v/>
      </c>
      <c r="W19" s="48">
        <f>Z18</f>
        <v/>
      </c>
      <c r="X19" s="49">
        <f>IF(W19&gt;0,W19*Plan!$D$28/100/12,0)</f>
        <v/>
      </c>
      <c r="Y19" s="48">
        <f>IF(W19&lt;=0,0,MIN(W19+X19,Plan!$E$28))</f>
        <v/>
      </c>
      <c r="Z19" s="50">
        <f>MAX(0,W19+X19-Y19)</f>
        <v/>
      </c>
      <c r="AA19" s="50">
        <f>F19+J19+N19+R19+V19+Z19</f>
        <v/>
      </c>
    </row>
    <row r="20">
      <c r="A20" s="40" t="n">
        <v>13</v>
      </c>
      <c r="B20" s="41">
        <f>EDATE(Plan!$C$18,12)</f>
        <v/>
      </c>
      <c r="C20" s="42">
        <f>F19</f>
        <v/>
      </c>
      <c r="D20" s="43">
        <f>IF(C20&gt;0,C20*Plan!$D$23/100/12,0)</f>
        <v/>
      </c>
      <c r="E20" s="42">
        <f>IF(C20&lt;=0,0,MIN(C20+D20,Plan!$E$23))</f>
        <v/>
      </c>
      <c r="F20" s="44">
        <f>MAX(0,C20+D20-E20)</f>
        <v/>
      </c>
      <c r="G20" s="42">
        <f>J19</f>
        <v/>
      </c>
      <c r="H20" s="43">
        <f>IF(G20&gt;0,G20*Plan!$D$24/100/12,0)</f>
        <v/>
      </c>
      <c r="I20" s="42">
        <f>IF(G20&lt;=0,0,MIN(G20+H20,Plan!$E$24))</f>
        <v/>
      </c>
      <c r="J20" s="44">
        <f>MAX(0,G20+H20-I20)</f>
        <v/>
      </c>
      <c r="K20" s="42">
        <f>N19</f>
        <v/>
      </c>
      <c r="L20" s="43">
        <f>IF(K20&gt;0,K20*Plan!$D$25/100/12,0)</f>
        <v/>
      </c>
      <c r="M20" s="42">
        <f>IF(K20&lt;=0,0,MIN(K20+L20,Plan!$E$25))</f>
        <v/>
      </c>
      <c r="N20" s="44">
        <f>MAX(0,K20+L20-M20)</f>
        <v/>
      </c>
      <c r="O20" s="42">
        <f>R19</f>
        <v/>
      </c>
      <c r="P20" s="43">
        <f>IF(O20&gt;0,O20*Plan!$D$26/100/12,0)</f>
        <v/>
      </c>
      <c r="Q20" s="42">
        <f>IF(O20&lt;=0,0,MIN(O20+P20,Plan!$E$26))</f>
        <v/>
      </c>
      <c r="R20" s="44">
        <f>MAX(0,O20+P20-Q20)</f>
        <v/>
      </c>
      <c r="S20" s="42">
        <f>V19</f>
        <v/>
      </c>
      <c r="T20" s="43">
        <f>IF(S20&gt;0,S20*Plan!$D$27/100/12,0)</f>
        <v/>
      </c>
      <c r="U20" s="42">
        <f>IF(S20&lt;=0,0,MIN(S20+T20,Plan!$E$27))</f>
        <v/>
      </c>
      <c r="V20" s="44">
        <f>MAX(0,S20+T20-U20)</f>
        <v/>
      </c>
      <c r="W20" s="42">
        <f>Z19</f>
        <v/>
      </c>
      <c r="X20" s="43">
        <f>IF(W20&gt;0,W20*Plan!$D$28/100/12,0)</f>
        <v/>
      </c>
      <c r="Y20" s="42">
        <f>IF(W20&lt;=0,0,MIN(W20+X20,Plan!$E$28))</f>
        <v/>
      </c>
      <c r="Z20" s="44">
        <f>MAX(0,W20+X20-Y20)</f>
        <v/>
      </c>
      <c r="AA20" s="44">
        <f>F20+J20+N20+R20+V20+Z20</f>
        <v/>
      </c>
    </row>
    <row r="21">
      <c r="A21" s="46" t="n">
        <v>14</v>
      </c>
      <c r="B21" s="47">
        <f>EDATE(Plan!$C$18,13)</f>
        <v/>
      </c>
      <c r="C21" s="48">
        <f>F20</f>
        <v/>
      </c>
      <c r="D21" s="49">
        <f>IF(C21&gt;0,C21*Plan!$D$23/100/12,0)</f>
        <v/>
      </c>
      <c r="E21" s="48">
        <f>IF(C21&lt;=0,0,MIN(C21+D21,Plan!$E$23))</f>
        <v/>
      </c>
      <c r="F21" s="50">
        <f>MAX(0,C21+D21-E21)</f>
        <v/>
      </c>
      <c r="G21" s="48">
        <f>J20</f>
        <v/>
      </c>
      <c r="H21" s="49">
        <f>IF(G21&gt;0,G21*Plan!$D$24/100/12,0)</f>
        <v/>
      </c>
      <c r="I21" s="48">
        <f>IF(G21&lt;=0,0,MIN(G21+H21,Plan!$E$24))</f>
        <v/>
      </c>
      <c r="J21" s="50">
        <f>MAX(0,G21+H21-I21)</f>
        <v/>
      </c>
      <c r="K21" s="48">
        <f>N20</f>
        <v/>
      </c>
      <c r="L21" s="49">
        <f>IF(K21&gt;0,K21*Plan!$D$25/100/12,0)</f>
        <v/>
      </c>
      <c r="M21" s="48">
        <f>IF(K21&lt;=0,0,MIN(K21+L21,Plan!$E$25))</f>
        <v/>
      </c>
      <c r="N21" s="50">
        <f>MAX(0,K21+L21-M21)</f>
        <v/>
      </c>
      <c r="O21" s="48">
        <f>R20</f>
        <v/>
      </c>
      <c r="P21" s="49">
        <f>IF(O21&gt;0,O21*Plan!$D$26/100/12,0)</f>
        <v/>
      </c>
      <c r="Q21" s="48">
        <f>IF(O21&lt;=0,0,MIN(O21+P21,Plan!$E$26))</f>
        <v/>
      </c>
      <c r="R21" s="50">
        <f>MAX(0,O21+P21-Q21)</f>
        <v/>
      </c>
      <c r="S21" s="48">
        <f>V20</f>
        <v/>
      </c>
      <c r="T21" s="49">
        <f>IF(S21&gt;0,S21*Plan!$D$27/100/12,0)</f>
        <v/>
      </c>
      <c r="U21" s="48">
        <f>IF(S21&lt;=0,0,MIN(S21+T21,Plan!$E$27))</f>
        <v/>
      </c>
      <c r="V21" s="50">
        <f>MAX(0,S21+T21-U21)</f>
        <v/>
      </c>
      <c r="W21" s="48">
        <f>Z20</f>
        <v/>
      </c>
      <c r="X21" s="49">
        <f>IF(W21&gt;0,W21*Plan!$D$28/100/12,0)</f>
        <v/>
      </c>
      <c r="Y21" s="48">
        <f>IF(W21&lt;=0,0,MIN(W21+X21,Plan!$E$28))</f>
        <v/>
      </c>
      <c r="Z21" s="50">
        <f>MAX(0,W21+X21-Y21)</f>
        <v/>
      </c>
      <c r="AA21" s="50">
        <f>F21+J21+N21+R21+V21+Z21</f>
        <v/>
      </c>
    </row>
    <row r="22">
      <c r="A22" s="40" t="n">
        <v>15</v>
      </c>
      <c r="B22" s="41">
        <f>EDATE(Plan!$C$18,14)</f>
        <v/>
      </c>
      <c r="C22" s="42">
        <f>F21</f>
        <v/>
      </c>
      <c r="D22" s="43">
        <f>IF(C22&gt;0,C22*Plan!$D$23/100/12,0)</f>
        <v/>
      </c>
      <c r="E22" s="42">
        <f>IF(C22&lt;=0,0,MIN(C22+D22,Plan!$E$23))</f>
        <v/>
      </c>
      <c r="F22" s="44">
        <f>MAX(0,C22+D22-E22)</f>
        <v/>
      </c>
      <c r="G22" s="42">
        <f>J21</f>
        <v/>
      </c>
      <c r="H22" s="43">
        <f>IF(G22&gt;0,G22*Plan!$D$24/100/12,0)</f>
        <v/>
      </c>
      <c r="I22" s="42">
        <f>IF(G22&lt;=0,0,MIN(G22+H22,Plan!$E$24))</f>
        <v/>
      </c>
      <c r="J22" s="44">
        <f>MAX(0,G22+H22-I22)</f>
        <v/>
      </c>
      <c r="K22" s="42">
        <f>N21</f>
        <v/>
      </c>
      <c r="L22" s="43">
        <f>IF(K22&gt;0,K22*Plan!$D$25/100/12,0)</f>
        <v/>
      </c>
      <c r="M22" s="42">
        <f>IF(K22&lt;=0,0,MIN(K22+L22,Plan!$E$25))</f>
        <v/>
      </c>
      <c r="N22" s="44">
        <f>MAX(0,K22+L22-M22)</f>
        <v/>
      </c>
      <c r="O22" s="42">
        <f>R21</f>
        <v/>
      </c>
      <c r="P22" s="43">
        <f>IF(O22&gt;0,O22*Plan!$D$26/100/12,0)</f>
        <v/>
      </c>
      <c r="Q22" s="42">
        <f>IF(O22&lt;=0,0,MIN(O22+P22,Plan!$E$26))</f>
        <v/>
      </c>
      <c r="R22" s="44">
        <f>MAX(0,O22+P22-Q22)</f>
        <v/>
      </c>
      <c r="S22" s="42">
        <f>V21</f>
        <v/>
      </c>
      <c r="T22" s="43">
        <f>IF(S22&gt;0,S22*Plan!$D$27/100/12,0)</f>
        <v/>
      </c>
      <c r="U22" s="42">
        <f>IF(S22&lt;=0,0,MIN(S22+T22,Plan!$E$27))</f>
        <v/>
      </c>
      <c r="V22" s="44">
        <f>MAX(0,S22+T22-U22)</f>
        <v/>
      </c>
      <c r="W22" s="42">
        <f>Z21</f>
        <v/>
      </c>
      <c r="X22" s="43">
        <f>IF(W22&gt;0,W22*Plan!$D$28/100/12,0)</f>
        <v/>
      </c>
      <c r="Y22" s="42">
        <f>IF(W22&lt;=0,0,MIN(W22+X22,Plan!$E$28))</f>
        <v/>
      </c>
      <c r="Z22" s="44">
        <f>MAX(0,W22+X22-Y22)</f>
        <v/>
      </c>
      <c r="AA22" s="44">
        <f>F22+J22+N22+R22+V22+Z22</f>
        <v/>
      </c>
    </row>
    <row r="23">
      <c r="A23" s="46" t="n">
        <v>16</v>
      </c>
      <c r="B23" s="47">
        <f>EDATE(Plan!$C$18,15)</f>
        <v/>
      </c>
      <c r="C23" s="48">
        <f>F22</f>
        <v/>
      </c>
      <c r="D23" s="49">
        <f>IF(C23&gt;0,C23*Plan!$D$23/100/12,0)</f>
        <v/>
      </c>
      <c r="E23" s="48">
        <f>IF(C23&lt;=0,0,MIN(C23+D23,Plan!$E$23))</f>
        <v/>
      </c>
      <c r="F23" s="50">
        <f>MAX(0,C23+D23-E23)</f>
        <v/>
      </c>
      <c r="G23" s="48">
        <f>J22</f>
        <v/>
      </c>
      <c r="H23" s="49">
        <f>IF(G23&gt;0,G23*Plan!$D$24/100/12,0)</f>
        <v/>
      </c>
      <c r="I23" s="48">
        <f>IF(G23&lt;=0,0,MIN(G23+H23,Plan!$E$24))</f>
        <v/>
      </c>
      <c r="J23" s="50">
        <f>MAX(0,G23+H23-I23)</f>
        <v/>
      </c>
      <c r="K23" s="48">
        <f>N22</f>
        <v/>
      </c>
      <c r="L23" s="49">
        <f>IF(K23&gt;0,K23*Plan!$D$25/100/12,0)</f>
        <v/>
      </c>
      <c r="M23" s="48">
        <f>IF(K23&lt;=0,0,MIN(K23+L23,Plan!$E$25))</f>
        <v/>
      </c>
      <c r="N23" s="50">
        <f>MAX(0,K23+L23-M23)</f>
        <v/>
      </c>
      <c r="O23" s="48">
        <f>R22</f>
        <v/>
      </c>
      <c r="P23" s="49">
        <f>IF(O23&gt;0,O23*Plan!$D$26/100/12,0)</f>
        <v/>
      </c>
      <c r="Q23" s="48">
        <f>IF(O23&lt;=0,0,MIN(O23+P23,Plan!$E$26))</f>
        <v/>
      </c>
      <c r="R23" s="50">
        <f>MAX(0,O23+P23-Q23)</f>
        <v/>
      </c>
      <c r="S23" s="48">
        <f>V22</f>
        <v/>
      </c>
      <c r="T23" s="49">
        <f>IF(S23&gt;0,S23*Plan!$D$27/100/12,0)</f>
        <v/>
      </c>
      <c r="U23" s="48">
        <f>IF(S23&lt;=0,0,MIN(S23+T23,Plan!$E$27))</f>
        <v/>
      </c>
      <c r="V23" s="50">
        <f>MAX(0,S23+T23-U23)</f>
        <v/>
      </c>
      <c r="W23" s="48">
        <f>Z22</f>
        <v/>
      </c>
      <c r="X23" s="49">
        <f>IF(W23&gt;0,W23*Plan!$D$28/100/12,0)</f>
        <v/>
      </c>
      <c r="Y23" s="48">
        <f>IF(W23&lt;=0,0,MIN(W23+X23,Plan!$E$28))</f>
        <v/>
      </c>
      <c r="Z23" s="50">
        <f>MAX(0,W23+X23-Y23)</f>
        <v/>
      </c>
      <c r="AA23" s="50">
        <f>F23+J23+N23+R23+V23+Z23</f>
        <v/>
      </c>
    </row>
    <row r="24">
      <c r="A24" s="40" t="n">
        <v>17</v>
      </c>
      <c r="B24" s="41">
        <f>EDATE(Plan!$C$18,16)</f>
        <v/>
      </c>
      <c r="C24" s="42">
        <f>F23</f>
        <v/>
      </c>
      <c r="D24" s="43">
        <f>IF(C24&gt;0,C24*Plan!$D$23/100/12,0)</f>
        <v/>
      </c>
      <c r="E24" s="42">
        <f>IF(C24&lt;=0,0,MIN(C24+D24,Plan!$E$23))</f>
        <v/>
      </c>
      <c r="F24" s="44">
        <f>MAX(0,C24+D24-E24)</f>
        <v/>
      </c>
      <c r="G24" s="42">
        <f>J23</f>
        <v/>
      </c>
      <c r="H24" s="43">
        <f>IF(G24&gt;0,G24*Plan!$D$24/100/12,0)</f>
        <v/>
      </c>
      <c r="I24" s="42">
        <f>IF(G24&lt;=0,0,MIN(G24+H24,Plan!$E$24))</f>
        <v/>
      </c>
      <c r="J24" s="44">
        <f>MAX(0,G24+H24-I24)</f>
        <v/>
      </c>
      <c r="K24" s="42">
        <f>N23</f>
        <v/>
      </c>
      <c r="L24" s="43">
        <f>IF(K24&gt;0,K24*Plan!$D$25/100/12,0)</f>
        <v/>
      </c>
      <c r="M24" s="42">
        <f>IF(K24&lt;=0,0,MIN(K24+L24,Plan!$E$25))</f>
        <v/>
      </c>
      <c r="N24" s="44">
        <f>MAX(0,K24+L24-M24)</f>
        <v/>
      </c>
      <c r="O24" s="42">
        <f>R23</f>
        <v/>
      </c>
      <c r="P24" s="43">
        <f>IF(O24&gt;0,O24*Plan!$D$26/100/12,0)</f>
        <v/>
      </c>
      <c r="Q24" s="42">
        <f>IF(O24&lt;=0,0,MIN(O24+P24,Plan!$E$26))</f>
        <v/>
      </c>
      <c r="R24" s="44">
        <f>MAX(0,O24+P24-Q24)</f>
        <v/>
      </c>
      <c r="S24" s="42">
        <f>V23</f>
        <v/>
      </c>
      <c r="T24" s="43">
        <f>IF(S24&gt;0,S24*Plan!$D$27/100/12,0)</f>
        <v/>
      </c>
      <c r="U24" s="42">
        <f>IF(S24&lt;=0,0,MIN(S24+T24,Plan!$E$27))</f>
        <v/>
      </c>
      <c r="V24" s="44">
        <f>MAX(0,S24+T24-U24)</f>
        <v/>
      </c>
      <c r="W24" s="42">
        <f>Z23</f>
        <v/>
      </c>
      <c r="X24" s="43">
        <f>IF(W24&gt;0,W24*Plan!$D$28/100/12,0)</f>
        <v/>
      </c>
      <c r="Y24" s="42">
        <f>IF(W24&lt;=0,0,MIN(W24+X24,Plan!$E$28))</f>
        <v/>
      </c>
      <c r="Z24" s="44">
        <f>MAX(0,W24+X24-Y24)</f>
        <v/>
      </c>
      <c r="AA24" s="44">
        <f>F24+J24+N24+R24+V24+Z24</f>
        <v/>
      </c>
    </row>
    <row r="25">
      <c r="A25" s="46" t="n">
        <v>18</v>
      </c>
      <c r="B25" s="47">
        <f>EDATE(Plan!$C$18,17)</f>
        <v/>
      </c>
      <c r="C25" s="48">
        <f>F24</f>
        <v/>
      </c>
      <c r="D25" s="49">
        <f>IF(C25&gt;0,C25*Plan!$D$23/100/12,0)</f>
        <v/>
      </c>
      <c r="E25" s="48">
        <f>IF(C25&lt;=0,0,MIN(C25+D25,Plan!$E$23))</f>
        <v/>
      </c>
      <c r="F25" s="50">
        <f>MAX(0,C25+D25-E25)</f>
        <v/>
      </c>
      <c r="G25" s="48">
        <f>J24</f>
        <v/>
      </c>
      <c r="H25" s="49">
        <f>IF(G25&gt;0,G25*Plan!$D$24/100/12,0)</f>
        <v/>
      </c>
      <c r="I25" s="48">
        <f>IF(G25&lt;=0,0,MIN(G25+H25,Plan!$E$24))</f>
        <v/>
      </c>
      <c r="J25" s="50">
        <f>MAX(0,G25+H25-I25)</f>
        <v/>
      </c>
      <c r="K25" s="48">
        <f>N24</f>
        <v/>
      </c>
      <c r="L25" s="49">
        <f>IF(K25&gt;0,K25*Plan!$D$25/100/12,0)</f>
        <v/>
      </c>
      <c r="M25" s="48">
        <f>IF(K25&lt;=0,0,MIN(K25+L25,Plan!$E$25))</f>
        <v/>
      </c>
      <c r="N25" s="50">
        <f>MAX(0,K25+L25-M25)</f>
        <v/>
      </c>
      <c r="O25" s="48">
        <f>R24</f>
        <v/>
      </c>
      <c r="P25" s="49">
        <f>IF(O25&gt;0,O25*Plan!$D$26/100/12,0)</f>
        <v/>
      </c>
      <c r="Q25" s="48">
        <f>IF(O25&lt;=0,0,MIN(O25+P25,Plan!$E$26))</f>
        <v/>
      </c>
      <c r="R25" s="50">
        <f>MAX(0,O25+P25-Q25)</f>
        <v/>
      </c>
      <c r="S25" s="48">
        <f>V24</f>
        <v/>
      </c>
      <c r="T25" s="49">
        <f>IF(S25&gt;0,S25*Plan!$D$27/100/12,0)</f>
        <v/>
      </c>
      <c r="U25" s="48">
        <f>IF(S25&lt;=0,0,MIN(S25+T25,Plan!$E$27))</f>
        <v/>
      </c>
      <c r="V25" s="50">
        <f>MAX(0,S25+T25-U25)</f>
        <v/>
      </c>
      <c r="W25" s="48">
        <f>Z24</f>
        <v/>
      </c>
      <c r="X25" s="49">
        <f>IF(W25&gt;0,W25*Plan!$D$28/100/12,0)</f>
        <v/>
      </c>
      <c r="Y25" s="48">
        <f>IF(W25&lt;=0,0,MIN(W25+X25,Plan!$E$28))</f>
        <v/>
      </c>
      <c r="Z25" s="50">
        <f>MAX(0,W25+X25-Y25)</f>
        <v/>
      </c>
      <c r="AA25" s="50">
        <f>F25+J25+N25+R25+V25+Z25</f>
        <v/>
      </c>
    </row>
    <row r="26">
      <c r="A26" s="40" t="n">
        <v>19</v>
      </c>
      <c r="B26" s="41">
        <f>EDATE(Plan!$C$18,18)</f>
        <v/>
      </c>
      <c r="C26" s="42">
        <f>F25</f>
        <v/>
      </c>
      <c r="D26" s="43">
        <f>IF(C26&gt;0,C26*Plan!$D$23/100/12,0)</f>
        <v/>
      </c>
      <c r="E26" s="42">
        <f>IF(C26&lt;=0,0,MIN(C26+D26,Plan!$E$23))</f>
        <v/>
      </c>
      <c r="F26" s="44">
        <f>MAX(0,C26+D26-E26)</f>
        <v/>
      </c>
      <c r="G26" s="42">
        <f>J25</f>
        <v/>
      </c>
      <c r="H26" s="43">
        <f>IF(G26&gt;0,G26*Plan!$D$24/100/12,0)</f>
        <v/>
      </c>
      <c r="I26" s="42">
        <f>IF(G26&lt;=0,0,MIN(G26+H26,Plan!$E$24))</f>
        <v/>
      </c>
      <c r="J26" s="44">
        <f>MAX(0,G26+H26-I26)</f>
        <v/>
      </c>
      <c r="K26" s="42">
        <f>N25</f>
        <v/>
      </c>
      <c r="L26" s="43">
        <f>IF(K26&gt;0,K26*Plan!$D$25/100/12,0)</f>
        <v/>
      </c>
      <c r="M26" s="42">
        <f>IF(K26&lt;=0,0,MIN(K26+L26,Plan!$E$25))</f>
        <v/>
      </c>
      <c r="N26" s="44">
        <f>MAX(0,K26+L26-M26)</f>
        <v/>
      </c>
      <c r="O26" s="42">
        <f>R25</f>
        <v/>
      </c>
      <c r="P26" s="43">
        <f>IF(O26&gt;0,O26*Plan!$D$26/100/12,0)</f>
        <v/>
      </c>
      <c r="Q26" s="42">
        <f>IF(O26&lt;=0,0,MIN(O26+P26,Plan!$E$26))</f>
        <v/>
      </c>
      <c r="R26" s="44">
        <f>MAX(0,O26+P26-Q26)</f>
        <v/>
      </c>
      <c r="S26" s="42">
        <f>V25</f>
        <v/>
      </c>
      <c r="T26" s="43">
        <f>IF(S26&gt;0,S26*Plan!$D$27/100/12,0)</f>
        <v/>
      </c>
      <c r="U26" s="42">
        <f>IF(S26&lt;=0,0,MIN(S26+T26,Plan!$E$27))</f>
        <v/>
      </c>
      <c r="V26" s="44">
        <f>MAX(0,S26+T26-U26)</f>
        <v/>
      </c>
      <c r="W26" s="42">
        <f>Z25</f>
        <v/>
      </c>
      <c r="X26" s="43">
        <f>IF(W26&gt;0,W26*Plan!$D$28/100/12,0)</f>
        <v/>
      </c>
      <c r="Y26" s="42">
        <f>IF(W26&lt;=0,0,MIN(W26+X26,Plan!$E$28))</f>
        <v/>
      </c>
      <c r="Z26" s="44">
        <f>MAX(0,W26+X26-Y26)</f>
        <v/>
      </c>
      <c r="AA26" s="44">
        <f>F26+J26+N26+R26+V26+Z26</f>
        <v/>
      </c>
    </row>
    <row r="27">
      <c r="A27" s="46" t="n">
        <v>20</v>
      </c>
      <c r="B27" s="47">
        <f>EDATE(Plan!$C$18,19)</f>
        <v/>
      </c>
      <c r="C27" s="48">
        <f>F26</f>
        <v/>
      </c>
      <c r="D27" s="49">
        <f>IF(C27&gt;0,C27*Plan!$D$23/100/12,0)</f>
        <v/>
      </c>
      <c r="E27" s="48">
        <f>IF(C27&lt;=0,0,MIN(C27+D27,Plan!$E$23))</f>
        <v/>
      </c>
      <c r="F27" s="50">
        <f>MAX(0,C27+D27-E27)</f>
        <v/>
      </c>
      <c r="G27" s="48">
        <f>J26</f>
        <v/>
      </c>
      <c r="H27" s="49">
        <f>IF(G27&gt;0,G27*Plan!$D$24/100/12,0)</f>
        <v/>
      </c>
      <c r="I27" s="48">
        <f>IF(G27&lt;=0,0,MIN(G27+H27,Plan!$E$24))</f>
        <v/>
      </c>
      <c r="J27" s="50">
        <f>MAX(0,G27+H27-I27)</f>
        <v/>
      </c>
      <c r="K27" s="48">
        <f>N26</f>
        <v/>
      </c>
      <c r="L27" s="49">
        <f>IF(K27&gt;0,K27*Plan!$D$25/100/12,0)</f>
        <v/>
      </c>
      <c r="M27" s="48">
        <f>IF(K27&lt;=0,0,MIN(K27+L27,Plan!$E$25))</f>
        <v/>
      </c>
      <c r="N27" s="50">
        <f>MAX(0,K27+L27-M27)</f>
        <v/>
      </c>
      <c r="O27" s="48">
        <f>R26</f>
        <v/>
      </c>
      <c r="P27" s="49">
        <f>IF(O27&gt;0,O27*Plan!$D$26/100/12,0)</f>
        <v/>
      </c>
      <c r="Q27" s="48">
        <f>IF(O27&lt;=0,0,MIN(O27+P27,Plan!$E$26))</f>
        <v/>
      </c>
      <c r="R27" s="50">
        <f>MAX(0,O27+P27-Q27)</f>
        <v/>
      </c>
      <c r="S27" s="48">
        <f>V26</f>
        <v/>
      </c>
      <c r="T27" s="49">
        <f>IF(S27&gt;0,S27*Plan!$D$27/100/12,0)</f>
        <v/>
      </c>
      <c r="U27" s="48">
        <f>IF(S27&lt;=0,0,MIN(S27+T27,Plan!$E$27))</f>
        <v/>
      </c>
      <c r="V27" s="50">
        <f>MAX(0,S27+T27-U27)</f>
        <v/>
      </c>
      <c r="W27" s="48">
        <f>Z26</f>
        <v/>
      </c>
      <c r="X27" s="49">
        <f>IF(W27&gt;0,W27*Plan!$D$28/100/12,0)</f>
        <v/>
      </c>
      <c r="Y27" s="48">
        <f>IF(W27&lt;=0,0,MIN(W27+X27,Plan!$E$28))</f>
        <v/>
      </c>
      <c r="Z27" s="50">
        <f>MAX(0,W27+X27-Y27)</f>
        <v/>
      </c>
      <c r="AA27" s="50">
        <f>F27+J27+N27+R27+V27+Z27</f>
        <v/>
      </c>
    </row>
    <row r="28">
      <c r="A28" s="40" t="n">
        <v>21</v>
      </c>
      <c r="B28" s="41">
        <f>EDATE(Plan!$C$18,20)</f>
        <v/>
      </c>
      <c r="C28" s="42">
        <f>F27</f>
        <v/>
      </c>
      <c r="D28" s="43">
        <f>IF(C28&gt;0,C28*Plan!$D$23/100/12,0)</f>
        <v/>
      </c>
      <c r="E28" s="42">
        <f>IF(C28&lt;=0,0,MIN(C28+D28,Plan!$E$23))</f>
        <v/>
      </c>
      <c r="F28" s="44">
        <f>MAX(0,C28+D28-E28)</f>
        <v/>
      </c>
      <c r="G28" s="42">
        <f>J27</f>
        <v/>
      </c>
      <c r="H28" s="43">
        <f>IF(G28&gt;0,G28*Plan!$D$24/100/12,0)</f>
        <v/>
      </c>
      <c r="I28" s="42">
        <f>IF(G28&lt;=0,0,MIN(G28+H28,Plan!$E$24))</f>
        <v/>
      </c>
      <c r="J28" s="44">
        <f>MAX(0,G28+H28-I28)</f>
        <v/>
      </c>
      <c r="K28" s="42">
        <f>N27</f>
        <v/>
      </c>
      <c r="L28" s="43">
        <f>IF(K28&gt;0,K28*Plan!$D$25/100/12,0)</f>
        <v/>
      </c>
      <c r="M28" s="42">
        <f>IF(K28&lt;=0,0,MIN(K28+L28,Plan!$E$25))</f>
        <v/>
      </c>
      <c r="N28" s="44">
        <f>MAX(0,K28+L28-M28)</f>
        <v/>
      </c>
      <c r="O28" s="42">
        <f>R27</f>
        <v/>
      </c>
      <c r="P28" s="43">
        <f>IF(O28&gt;0,O28*Plan!$D$26/100/12,0)</f>
        <v/>
      </c>
      <c r="Q28" s="42">
        <f>IF(O28&lt;=0,0,MIN(O28+P28,Plan!$E$26))</f>
        <v/>
      </c>
      <c r="R28" s="44">
        <f>MAX(0,O28+P28-Q28)</f>
        <v/>
      </c>
      <c r="S28" s="42">
        <f>V27</f>
        <v/>
      </c>
      <c r="T28" s="43">
        <f>IF(S28&gt;0,S28*Plan!$D$27/100/12,0)</f>
        <v/>
      </c>
      <c r="U28" s="42">
        <f>IF(S28&lt;=0,0,MIN(S28+T28,Plan!$E$27))</f>
        <v/>
      </c>
      <c r="V28" s="44">
        <f>MAX(0,S28+T28-U28)</f>
        <v/>
      </c>
      <c r="W28" s="42">
        <f>Z27</f>
        <v/>
      </c>
      <c r="X28" s="43">
        <f>IF(W28&gt;0,W28*Plan!$D$28/100/12,0)</f>
        <v/>
      </c>
      <c r="Y28" s="42">
        <f>IF(W28&lt;=0,0,MIN(W28+X28,Plan!$E$28))</f>
        <v/>
      </c>
      <c r="Z28" s="44">
        <f>MAX(0,W28+X28-Y28)</f>
        <v/>
      </c>
      <c r="AA28" s="44">
        <f>F28+J28+N28+R28+V28+Z28</f>
        <v/>
      </c>
    </row>
    <row r="29">
      <c r="A29" s="46" t="n">
        <v>22</v>
      </c>
      <c r="B29" s="47">
        <f>EDATE(Plan!$C$18,21)</f>
        <v/>
      </c>
      <c r="C29" s="48">
        <f>F28</f>
        <v/>
      </c>
      <c r="D29" s="49">
        <f>IF(C29&gt;0,C29*Plan!$D$23/100/12,0)</f>
        <v/>
      </c>
      <c r="E29" s="48">
        <f>IF(C29&lt;=0,0,MIN(C29+D29,Plan!$E$23))</f>
        <v/>
      </c>
      <c r="F29" s="50">
        <f>MAX(0,C29+D29-E29)</f>
        <v/>
      </c>
      <c r="G29" s="48">
        <f>J28</f>
        <v/>
      </c>
      <c r="H29" s="49">
        <f>IF(G29&gt;0,G29*Plan!$D$24/100/12,0)</f>
        <v/>
      </c>
      <c r="I29" s="48">
        <f>IF(G29&lt;=0,0,MIN(G29+H29,Plan!$E$24))</f>
        <v/>
      </c>
      <c r="J29" s="50">
        <f>MAX(0,G29+H29-I29)</f>
        <v/>
      </c>
      <c r="K29" s="48">
        <f>N28</f>
        <v/>
      </c>
      <c r="L29" s="49">
        <f>IF(K29&gt;0,K29*Plan!$D$25/100/12,0)</f>
        <v/>
      </c>
      <c r="M29" s="48">
        <f>IF(K29&lt;=0,0,MIN(K29+L29,Plan!$E$25))</f>
        <v/>
      </c>
      <c r="N29" s="50">
        <f>MAX(0,K29+L29-M29)</f>
        <v/>
      </c>
      <c r="O29" s="48">
        <f>R28</f>
        <v/>
      </c>
      <c r="P29" s="49">
        <f>IF(O29&gt;0,O29*Plan!$D$26/100/12,0)</f>
        <v/>
      </c>
      <c r="Q29" s="48">
        <f>IF(O29&lt;=0,0,MIN(O29+P29,Plan!$E$26))</f>
        <v/>
      </c>
      <c r="R29" s="50">
        <f>MAX(0,O29+P29-Q29)</f>
        <v/>
      </c>
      <c r="S29" s="48">
        <f>V28</f>
        <v/>
      </c>
      <c r="T29" s="49">
        <f>IF(S29&gt;0,S29*Plan!$D$27/100/12,0)</f>
        <v/>
      </c>
      <c r="U29" s="48">
        <f>IF(S29&lt;=0,0,MIN(S29+T29,Plan!$E$27))</f>
        <v/>
      </c>
      <c r="V29" s="50">
        <f>MAX(0,S29+T29-U29)</f>
        <v/>
      </c>
      <c r="W29" s="48">
        <f>Z28</f>
        <v/>
      </c>
      <c r="X29" s="49">
        <f>IF(W29&gt;0,W29*Plan!$D$28/100/12,0)</f>
        <v/>
      </c>
      <c r="Y29" s="48">
        <f>IF(W29&lt;=0,0,MIN(W29+X29,Plan!$E$28))</f>
        <v/>
      </c>
      <c r="Z29" s="50">
        <f>MAX(0,W29+X29-Y29)</f>
        <v/>
      </c>
      <c r="AA29" s="50">
        <f>F29+J29+N29+R29+V29+Z29</f>
        <v/>
      </c>
    </row>
    <row r="30">
      <c r="A30" s="40" t="n">
        <v>23</v>
      </c>
      <c r="B30" s="41">
        <f>EDATE(Plan!$C$18,22)</f>
        <v/>
      </c>
      <c r="C30" s="42">
        <f>F29</f>
        <v/>
      </c>
      <c r="D30" s="43">
        <f>IF(C30&gt;0,C30*Plan!$D$23/100/12,0)</f>
        <v/>
      </c>
      <c r="E30" s="42">
        <f>IF(C30&lt;=0,0,MIN(C30+D30,Plan!$E$23))</f>
        <v/>
      </c>
      <c r="F30" s="44">
        <f>MAX(0,C30+D30-E30)</f>
        <v/>
      </c>
      <c r="G30" s="42">
        <f>J29</f>
        <v/>
      </c>
      <c r="H30" s="43">
        <f>IF(G30&gt;0,G30*Plan!$D$24/100/12,0)</f>
        <v/>
      </c>
      <c r="I30" s="42">
        <f>IF(G30&lt;=0,0,MIN(G30+H30,Plan!$E$24))</f>
        <v/>
      </c>
      <c r="J30" s="44">
        <f>MAX(0,G30+H30-I30)</f>
        <v/>
      </c>
      <c r="K30" s="42">
        <f>N29</f>
        <v/>
      </c>
      <c r="L30" s="43">
        <f>IF(K30&gt;0,K30*Plan!$D$25/100/12,0)</f>
        <v/>
      </c>
      <c r="M30" s="42">
        <f>IF(K30&lt;=0,0,MIN(K30+L30,Plan!$E$25))</f>
        <v/>
      </c>
      <c r="N30" s="44">
        <f>MAX(0,K30+L30-M30)</f>
        <v/>
      </c>
      <c r="O30" s="42">
        <f>R29</f>
        <v/>
      </c>
      <c r="P30" s="43">
        <f>IF(O30&gt;0,O30*Plan!$D$26/100/12,0)</f>
        <v/>
      </c>
      <c r="Q30" s="42">
        <f>IF(O30&lt;=0,0,MIN(O30+P30,Plan!$E$26))</f>
        <v/>
      </c>
      <c r="R30" s="44">
        <f>MAX(0,O30+P30-Q30)</f>
        <v/>
      </c>
      <c r="S30" s="42">
        <f>V29</f>
        <v/>
      </c>
      <c r="T30" s="43">
        <f>IF(S30&gt;0,S30*Plan!$D$27/100/12,0)</f>
        <v/>
      </c>
      <c r="U30" s="42">
        <f>IF(S30&lt;=0,0,MIN(S30+T30,Plan!$E$27))</f>
        <v/>
      </c>
      <c r="V30" s="44">
        <f>MAX(0,S30+T30-U30)</f>
        <v/>
      </c>
      <c r="W30" s="42">
        <f>Z29</f>
        <v/>
      </c>
      <c r="X30" s="43">
        <f>IF(W30&gt;0,W30*Plan!$D$28/100/12,0)</f>
        <v/>
      </c>
      <c r="Y30" s="42">
        <f>IF(W30&lt;=0,0,MIN(W30+X30,Plan!$E$28))</f>
        <v/>
      </c>
      <c r="Z30" s="44">
        <f>MAX(0,W30+X30-Y30)</f>
        <v/>
      </c>
      <c r="AA30" s="44">
        <f>F30+J30+N30+R30+V30+Z30</f>
        <v/>
      </c>
    </row>
    <row r="31">
      <c r="A31" s="46" t="n">
        <v>24</v>
      </c>
      <c r="B31" s="47">
        <f>EDATE(Plan!$C$18,23)</f>
        <v/>
      </c>
      <c r="C31" s="48">
        <f>F30</f>
        <v/>
      </c>
      <c r="D31" s="49">
        <f>IF(C31&gt;0,C31*Plan!$D$23/100/12,0)</f>
        <v/>
      </c>
      <c r="E31" s="48">
        <f>IF(C31&lt;=0,0,MIN(C31+D31,Plan!$E$23))</f>
        <v/>
      </c>
      <c r="F31" s="50">
        <f>MAX(0,C31+D31-E31)</f>
        <v/>
      </c>
      <c r="G31" s="48">
        <f>J30</f>
        <v/>
      </c>
      <c r="H31" s="49">
        <f>IF(G31&gt;0,G31*Plan!$D$24/100/12,0)</f>
        <v/>
      </c>
      <c r="I31" s="48">
        <f>IF(G31&lt;=0,0,MIN(G31+H31,Plan!$E$24))</f>
        <v/>
      </c>
      <c r="J31" s="50">
        <f>MAX(0,G31+H31-I31)</f>
        <v/>
      </c>
      <c r="K31" s="48">
        <f>N30</f>
        <v/>
      </c>
      <c r="L31" s="49">
        <f>IF(K31&gt;0,K31*Plan!$D$25/100/12,0)</f>
        <v/>
      </c>
      <c r="M31" s="48">
        <f>IF(K31&lt;=0,0,MIN(K31+L31,Plan!$E$25))</f>
        <v/>
      </c>
      <c r="N31" s="50">
        <f>MAX(0,K31+L31-M31)</f>
        <v/>
      </c>
      <c r="O31" s="48">
        <f>R30</f>
        <v/>
      </c>
      <c r="P31" s="49">
        <f>IF(O31&gt;0,O31*Plan!$D$26/100/12,0)</f>
        <v/>
      </c>
      <c r="Q31" s="48">
        <f>IF(O31&lt;=0,0,MIN(O31+P31,Plan!$E$26))</f>
        <v/>
      </c>
      <c r="R31" s="50">
        <f>MAX(0,O31+P31-Q31)</f>
        <v/>
      </c>
      <c r="S31" s="48">
        <f>V30</f>
        <v/>
      </c>
      <c r="T31" s="49">
        <f>IF(S31&gt;0,S31*Plan!$D$27/100/12,0)</f>
        <v/>
      </c>
      <c r="U31" s="48">
        <f>IF(S31&lt;=0,0,MIN(S31+T31,Plan!$E$27))</f>
        <v/>
      </c>
      <c r="V31" s="50">
        <f>MAX(0,S31+T31-U31)</f>
        <v/>
      </c>
      <c r="W31" s="48">
        <f>Z30</f>
        <v/>
      </c>
      <c r="X31" s="49">
        <f>IF(W31&gt;0,W31*Plan!$D$28/100/12,0)</f>
        <v/>
      </c>
      <c r="Y31" s="48">
        <f>IF(W31&lt;=0,0,MIN(W31+X31,Plan!$E$28))</f>
        <v/>
      </c>
      <c r="Z31" s="50">
        <f>MAX(0,W31+X31-Y31)</f>
        <v/>
      </c>
      <c r="AA31" s="50">
        <f>F31+J31+N31+R31+V31+Z31</f>
        <v/>
      </c>
    </row>
    <row r="32">
      <c r="A32" s="40" t="n">
        <v>25</v>
      </c>
      <c r="B32" s="41">
        <f>EDATE(Plan!$C$18,24)</f>
        <v/>
      </c>
      <c r="C32" s="42">
        <f>F31</f>
        <v/>
      </c>
      <c r="D32" s="43">
        <f>IF(C32&gt;0,C32*Plan!$D$23/100/12,0)</f>
        <v/>
      </c>
      <c r="E32" s="42">
        <f>IF(C32&lt;=0,0,MIN(C32+D32,Plan!$E$23))</f>
        <v/>
      </c>
      <c r="F32" s="44">
        <f>MAX(0,C32+D32-E32)</f>
        <v/>
      </c>
      <c r="G32" s="42">
        <f>J31</f>
        <v/>
      </c>
      <c r="H32" s="43">
        <f>IF(G32&gt;0,G32*Plan!$D$24/100/12,0)</f>
        <v/>
      </c>
      <c r="I32" s="42">
        <f>IF(G32&lt;=0,0,MIN(G32+H32,Plan!$E$24))</f>
        <v/>
      </c>
      <c r="J32" s="44">
        <f>MAX(0,G32+H32-I32)</f>
        <v/>
      </c>
      <c r="K32" s="42">
        <f>N31</f>
        <v/>
      </c>
      <c r="L32" s="43">
        <f>IF(K32&gt;0,K32*Plan!$D$25/100/12,0)</f>
        <v/>
      </c>
      <c r="M32" s="42">
        <f>IF(K32&lt;=0,0,MIN(K32+L32,Plan!$E$25))</f>
        <v/>
      </c>
      <c r="N32" s="44">
        <f>MAX(0,K32+L32-M32)</f>
        <v/>
      </c>
      <c r="O32" s="42">
        <f>R31</f>
        <v/>
      </c>
      <c r="P32" s="43">
        <f>IF(O32&gt;0,O32*Plan!$D$26/100/12,0)</f>
        <v/>
      </c>
      <c r="Q32" s="42">
        <f>IF(O32&lt;=0,0,MIN(O32+P32,Plan!$E$26))</f>
        <v/>
      </c>
      <c r="R32" s="44">
        <f>MAX(0,O32+P32-Q32)</f>
        <v/>
      </c>
      <c r="S32" s="42">
        <f>V31</f>
        <v/>
      </c>
      <c r="T32" s="43">
        <f>IF(S32&gt;0,S32*Plan!$D$27/100/12,0)</f>
        <v/>
      </c>
      <c r="U32" s="42">
        <f>IF(S32&lt;=0,0,MIN(S32+T32,Plan!$E$27))</f>
        <v/>
      </c>
      <c r="V32" s="44">
        <f>MAX(0,S32+T32-U32)</f>
        <v/>
      </c>
      <c r="W32" s="42">
        <f>Z31</f>
        <v/>
      </c>
      <c r="X32" s="43">
        <f>IF(W32&gt;0,W32*Plan!$D$28/100/12,0)</f>
        <v/>
      </c>
      <c r="Y32" s="42">
        <f>IF(W32&lt;=0,0,MIN(W32+X32,Plan!$E$28))</f>
        <v/>
      </c>
      <c r="Z32" s="44">
        <f>MAX(0,W32+X32-Y32)</f>
        <v/>
      </c>
      <c r="AA32" s="44">
        <f>F32+J32+N32+R32+V32+Z32</f>
        <v/>
      </c>
    </row>
    <row r="33">
      <c r="A33" s="46" t="n">
        <v>26</v>
      </c>
      <c r="B33" s="47">
        <f>EDATE(Plan!$C$18,25)</f>
        <v/>
      </c>
      <c r="C33" s="48">
        <f>F32</f>
        <v/>
      </c>
      <c r="D33" s="49">
        <f>IF(C33&gt;0,C33*Plan!$D$23/100/12,0)</f>
        <v/>
      </c>
      <c r="E33" s="48">
        <f>IF(C33&lt;=0,0,MIN(C33+D33,Plan!$E$23))</f>
        <v/>
      </c>
      <c r="F33" s="50">
        <f>MAX(0,C33+D33-E33)</f>
        <v/>
      </c>
      <c r="G33" s="48">
        <f>J32</f>
        <v/>
      </c>
      <c r="H33" s="49">
        <f>IF(G33&gt;0,G33*Plan!$D$24/100/12,0)</f>
        <v/>
      </c>
      <c r="I33" s="48">
        <f>IF(G33&lt;=0,0,MIN(G33+H33,Plan!$E$24))</f>
        <v/>
      </c>
      <c r="J33" s="50">
        <f>MAX(0,G33+H33-I33)</f>
        <v/>
      </c>
      <c r="K33" s="48">
        <f>N32</f>
        <v/>
      </c>
      <c r="L33" s="49">
        <f>IF(K33&gt;0,K33*Plan!$D$25/100/12,0)</f>
        <v/>
      </c>
      <c r="M33" s="48">
        <f>IF(K33&lt;=0,0,MIN(K33+L33,Plan!$E$25))</f>
        <v/>
      </c>
      <c r="N33" s="50">
        <f>MAX(0,K33+L33-M33)</f>
        <v/>
      </c>
      <c r="O33" s="48">
        <f>R32</f>
        <v/>
      </c>
      <c r="P33" s="49">
        <f>IF(O33&gt;0,O33*Plan!$D$26/100/12,0)</f>
        <v/>
      </c>
      <c r="Q33" s="48">
        <f>IF(O33&lt;=0,0,MIN(O33+P33,Plan!$E$26))</f>
        <v/>
      </c>
      <c r="R33" s="50">
        <f>MAX(0,O33+P33-Q33)</f>
        <v/>
      </c>
      <c r="S33" s="48">
        <f>V32</f>
        <v/>
      </c>
      <c r="T33" s="49">
        <f>IF(S33&gt;0,S33*Plan!$D$27/100/12,0)</f>
        <v/>
      </c>
      <c r="U33" s="48">
        <f>IF(S33&lt;=0,0,MIN(S33+T33,Plan!$E$27))</f>
        <v/>
      </c>
      <c r="V33" s="50">
        <f>MAX(0,S33+T33-U33)</f>
        <v/>
      </c>
      <c r="W33" s="48">
        <f>Z32</f>
        <v/>
      </c>
      <c r="X33" s="49">
        <f>IF(W33&gt;0,W33*Plan!$D$28/100/12,0)</f>
        <v/>
      </c>
      <c r="Y33" s="48">
        <f>IF(W33&lt;=0,0,MIN(W33+X33,Plan!$E$28))</f>
        <v/>
      </c>
      <c r="Z33" s="50">
        <f>MAX(0,W33+X33-Y33)</f>
        <v/>
      </c>
      <c r="AA33" s="50">
        <f>F33+J33+N33+R33+V33+Z33</f>
        <v/>
      </c>
    </row>
    <row r="34">
      <c r="A34" s="40" t="n">
        <v>27</v>
      </c>
      <c r="B34" s="41">
        <f>EDATE(Plan!$C$18,26)</f>
        <v/>
      </c>
      <c r="C34" s="42">
        <f>F33</f>
        <v/>
      </c>
      <c r="D34" s="43">
        <f>IF(C34&gt;0,C34*Plan!$D$23/100/12,0)</f>
        <v/>
      </c>
      <c r="E34" s="42">
        <f>IF(C34&lt;=0,0,MIN(C34+D34,Plan!$E$23))</f>
        <v/>
      </c>
      <c r="F34" s="44">
        <f>MAX(0,C34+D34-E34)</f>
        <v/>
      </c>
      <c r="G34" s="42">
        <f>J33</f>
        <v/>
      </c>
      <c r="H34" s="43">
        <f>IF(G34&gt;0,G34*Plan!$D$24/100/12,0)</f>
        <v/>
      </c>
      <c r="I34" s="42">
        <f>IF(G34&lt;=0,0,MIN(G34+H34,Plan!$E$24))</f>
        <v/>
      </c>
      <c r="J34" s="44">
        <f>MAX(0,G34+H34-I34)</f>
        <v/>
      </c>
      <c r="K34" s="42">
        <f>N33</f>
        <v/>
      </c>
      <c r="L34" s="43">
        <f>IF(K34&gt;0,K34*Plan!$D$25/100/12,0)</f>
        <v/>
      </c>
      <c r="M34" s="42">
        <f>IF(K34&lt;=0,0,MIN(K34+L34,Plan!$E$25))</f>
        <v/>
      </c>
      <c r="N34" s="44">
        <f>MAX(0,K34+L34-M34)</f>
        <v/>
      </c>
      <c r="O34" s="42">
        <f>R33</f>
        <v/>
      </c>
      <c r="P34" s="43">
        <f>IF(O34&gt;0,O34*Plan!$D$26/100/12,0)</f>
        <v/>
      </c>
      <c r="Q34" s="42">
        <f>IF(O34&lt;=0,0,MIN(O34+P34,Plan!$E$26))</f>
        <v/>
      </c>
      <c r="R34" s="44">
        <f>MAX(0,O34+P34-Q34)</f>
        <v/>
      </c>
      <c r="S34" s="42">
        <f>V33</f>
        <v/>
      </c>
      <c r="T34" s="43">
        <f>IF(S34&gt;0,S34*Plan!$D$27/100/12,0)</f>
        <v/>
      </c>
      <c r="U34" s="42">
        <f>IF(S34&lt;=0,0,MIN(S34+T34,Plan!$E$27))</f>
        <v/>
      </c>
      <c r="V34" s="44">
        <f>MAX(0,S34+T34-U34)</f>
        <v/>
      </c>
      <c r="W34" s="42">
        <f>Z33</f>
        <v/>
      </c>
      <c r="X34" s="43">
        <f>IF(W34&gt;0,W34*Plan!$D$28/100/12,0)</f>
        <v/>
      </c>
      <c r="Y34" s="42">
        <f>IF(W34&lt;=0,0,MIN(W34+X34,Plan!$E$28))</f>
        <v/>
      </c>
      <c r="Z34" s="44">
        <f>MAX(0,W34+X34-Y34)</f>
        <v/>
      </c>
      <c r="AA34" s="44">
        <f>F34+J34+N34+R34+V34+Z34</f>
        <v/>
      </c>
    </row>
    <row r="35">
      <c r="A35" s="46" t="n">
        <v>28</v>
      </c>
      <c r="B35" s="47">
        <f>EDATE(Plan!$C$18,27)</f>
        <v/>
      </c>
      <c r="C35" s="48">
        <f>F34</f>
        <v/>
      </c>
      <c r="D35" s="49">
        <f>IF(C35&gt;0,C35*Plan!$D$23/100/12,0)</f>
        <v/>
      </c>
      <c r="E35" s="48">
        <f>IF(C35&lt;=0,0,MIN(C35+D35,Plan!$E$23))</f>
        <v/>
      </c>
      <c r="F35" s="50">
        <f>MAX(0,C35+D35-E35)</f>
        <v/>
      </c>
      <c r="G35" s="48">
        <f>J34</f>
        <v/>
      </c>
      <c r="H35" s="49">
        <f>IF(G35&gt;0,G35*Plan!$D$24/100/12,0)</f>
        <v/>
      </c>
      <c r="I35" s="48">
        <f>IF(G35&lt;=0,0,MIN(G35+H35,Plan!$E$24))</f>
        <v/>
      </c>
      <c r="J35" s="50">
        <f>MAX(0,G35+H35-I35)</f>
        <v/>
      </c>
      <c r="K35" s="48">
        <f>N34</f>
        <v/>
      </c>
      <c r="L35" s="49">
        <f>IF(K35&gt;0,K35*Plan!$D$25/100/12,0)</f>
        <v/>
      </c>
      <c r="M35" s="48">
        <f>IF(K35&lt;=0,0,MIN(K35+L35,Plan!$E$25))</f>
        <v/>
      </c>
      <c r="N35" s="50">
        <f>MAX(0,K35+L35-M35)</f>
        <v/>
      </c>
      <c r="O35" s="48">
        <f>R34</f>
        <v/>
      </c>
      <c r="P35" s="49">
        <f>IF(O35&gt;0,O35*Plan!$D$26/100/12,0)</f>
        <v/>
      </c>
      <c r="Q35" s="48">
        <f>IF(O35&lt;=0,0,MIN(O35+P35,Plan!$E$26))</f>
        <v/>
      </c>
      <c r="R35" s="50">
        <f>MAX(0,O35+P35-Q35)</f>
        <v/>
      </c>
      <c r="S35" s="48">
        <f>V34</f>
        <v/>
      </c>
      <c r="T35" s="49">
        <f>IF(S35&gt;0,S35*Plan!$D$27/100/12,0)</f>
        <v/>
      </c>
      <c r="U35" s="48">
        <f>IF(S35&lt;=0,0,MIN(S35+T35,Plan!$E$27))</f>
        <v/>
      </c>
      <c r="V35" s="50">
        <f>MAX(0,S35+T35-U35)</f>
        <v/>
      </c>
      <c r="W35" s="48">
        <f>Z34</f>
        <v/>
      </c>
      <c r="X35" s="49">
        <f>IF(W35&gt;0,W35*Plan!$D$28/100/12,0)</f>
        <v/>
      </c>
      <c r="Y35" s="48">
        <f>IF(W35&lt;=0,0,MIN(W35+X35,Plan!$E$28))</f>
        <v/>
      </c>
      <c r="Z35" s="50">
        <f>MAX(0,W35+X35-Y35)</f>
        <v/>
      </c>
      <c r="AA35" s="50">
        <f>F35+J35+N35+R35+V35+Z35</f>
        <v/>
      </c>
    </row>
    <row r="36">
      <c r="A36" s="40" t="n">
        <v>29</v>
      </c>
      <c r="B36" s="41">
        <f>EDATE(Plan!$C$18,28)</f>
        <v/>
      </c>
      <c r="C36" s="42">
        <f>F35</f>
        <v/>
      </c>
      <c r="D36" s="43">
        <f>IF(C36&gt;0,C36*Plan!$D$23/100/12,0)</f>
        <v/>
      </c>
      <c r="E36" s="42">
        <f>IF(C36&lt;=0,0,MIN(C36+D36,Plan!$E$23))</f>
        <v/>
      </c>
      <c r="F36" s="44">
        <f>MAX(0,C36+D36-E36)</f>
        <v/>
      </c>
      <c r="G36" s="42">
        <f>J35</f>
        <v/>
      </c>
      <c r="H36" s="43">
        <f>IF(G36&gt;0,G36*Plan!$D$24/100/12,0)</f>
        <v/>
      </c>
      <c r="I36" s="42">
        <f>IF(G36&lt;=0,0,MIN(G36+H36,Plan!$E$24))</f>
        <v/>
      </c>
      <c r="J36" s="44">
        <f>MAX(0,G36+H36-I36)</f>
        <v/>
      </c>
      <c r="K36" s="42">
        <f>N35</f>
        <v/>
      </c>
      <c r="L36" s="43">
        <f>IF(K36&gt;0,K36*Plan!$D$25/100/12,0)</f>
        <v/>
      </c>
      <c r="M36" s="42">
        <f>IF(K36&lt;=0,0,MIN(K36+L36,Plan!$E$25))</f>
        <v/>
      </c>
      <c r="N36" s="44">
        <f>MAX(0,K36+L36-M36)</f>
        <v/>
      </c>
      <c r="O36" s="42">
        <f>R35</f>
        <v/>
      </c>
      <c r="P36" s="43">
        <f>IF(O36&gt;0,O36*Plan!$D$26/100/12,0)</f>
        <v/>
      </c>
      <c r="Q36" s="42">
        <f>IF(O36&lt;=0,0,MIN(O36+P36,Plan!$E$26))</f>
        <v/>
      </c>
      <c r="R36" s="44">
        <f>MAX(0,O36+P36-Q36)</f>
        <v/>
      </c>
      <c r="S36" s="42">
        <f>V35</f>
        <v/>
      </c>
      <c r="T36" s="43">
        <f>IF(S36&gt;0,S36*Plan!$D$27/100/12,0)</f>
        <v/>
      </c>
      <c r="U36" s="42">
        <f>IF(S36&lt;=0,0,MIN(S36+T36,Plan!$E$27))</f>
        <v/>
      </c>
      <c r="V36" s="44">
        <f>MAX(0,S36+T36-U36)</f>
        <v/>
      </c>
      <c r="W36" s="42">
        <f>Z35</f>
        <v/>
      </c>
      <c r="X36" s="43">
        <f>IF(W36&gt;0,W36*Plan!$D$28/100/12,0)</f>
        <v/>
      </c>
      <c r="Y36" s="42">
        <f>IF(W36&lt;=0,0,MIN(W36+X36,Plan!$E$28))</f>
        <v/>
      </c>
      <c r="Z36" s="44">
        <f>MAX(0,W36+X36-Y36)</f>
        <v/>
      </c>
      <c r="AA36" s="44">
        <f>F36+J36+N36+R36+V36+Z36</f>
        <v/>
      </c>
    </row>
    <row r="37">
      <c r="A37" s="46" t="n">
        <v>30</v>
      </c>
      <c r="B37" s="47">
        <f>EDATE(Plan!$C$18,29)</f>
        <v/>
      </c>
      <c r="C37" s="48">
        <f>F36</f>
        <v/>
      </c>
      <c r="D37" s="49">
        <f>IF(C37&gt;0,C37*Plan!$D$23/100/12,0)</f>
        <v/>
      </c>
      <c r="E37" s="48">
        <f>IF(C37&lt;=0,0,MIN(C37+D37,Plan!$E$23))</f>
        <v/>
      </c>
      <c r="F37" s="50">
        <f>MAX(0,C37+D37-E37)</f>
        <v/>
      </c>
      <c r="G37" s="48">
        <f>J36</f>
        <v/>
      </c>
      <c r="H37" s="49">
        <f>IF(G37&gt;0,G37*Plan!$D$24/100/12,0)</f>
        <v/>
      </c>
      <c r="I37" s="48">
        <f>IF(G37&lt;=0,0,MIN(G37+H37,Plan!$E$24))</f>
        <v/>
      </c>
      <c r="J37" s="50">
        <f>MAX(0,G37+H37-I37)</f>
        <v/>
      </c>
      <c r="K37" s="48">
        <f>N36</f>
        <v/>
      </c>
      <c r="L37" s="49">
        <f>IF(K37&gt;0,K37*Plan!$D$25/100/12,0)</f>
        <v/>
      </c>
      <c r="M37" s="48">
        <f>IF(K37&lt;=0,0,MIN(K37+L37,Plan!$E$25))</f>
        <v/>
      </c>
      <c r="N37" s="50">
        <f>MAX(0,K37+L37-M37)</f>
        <v/>
      </c>
      <c r="O37" s="48">
        <f>R36</f>
        <v/>
      </c>
      <c r="P37" s="49">
        <f>IF(O37&gt;0,O37*Plan!$D$26/100/12,0)</f>
        <v/>
      </c>
      <c r="Q37" s="48">
        <f>IF(O37&lt;=0,0,MIN(O37+P37,Plan!$E$26))</f>
        <v/>
      </c>
      <c r="R37" s="50">
        <f>MAX(0,O37+P37-Q37)</f>
        <v/>
      </c>
      <c r="S37" s="48">
        <f>V36</f>
        <v/>
      </c>
      <c r="T37" s="49">
        <f>IF(S37&gt;0,S37*Plan!$D$27/100/12,0)</f>
        <v/>
      </c>
      <c r="U37" s="48">
        <f>IF(S37&lt;=0,0,MIN(S37+T37,Plan!$E$27))</f>
        <v/>
      </c>
      <c r="V37" s="50">
        <f>MAX(0,S37+T37-U37)</f>
        <v/>
      </c>
      <c r="W37" s="48">
        <f>Z36</f>
        <v/>
      </c>
      <c r="X37" s="49">
        <f>IF(W37&gt;0,W37*Plan!$D$28/100/12,0)</f>
        <v/>
      </c>
      <c r="Y37" s="48">
        <f>IF(W37&lt;=0,0,MIN(W37+X37,Plan!$E$28))</f>
        <v/>
      </c>
      <c r="Z37" s="50">
        <f>MAX(0,W37+X37-Y37)</f>
        <v/>
      </c>
      <c r="AA37" s="50">
        <f>F37+J37+N37+R37+V37+Z37</f>
        <v/>
      </c>
    </row>
    <row r="38">
      <c r="A38" s="40" t="n">
        <v>31</v>
      </c>
      <c r="B38" s="41">
        <f>EDATE(Plan!$C$18,30)</f>
        <v/>
      </c>
      <c r="C38" s="42">
        <f>F37</f>
        <v/>
      </c>
      <c r="D38" s="43">
        <f>IF(C38&gt;0,C38*Plan!$D$23/100/12,0)</f>
        <v/>
      </c>
      <c r="E38" s="42">
        <f>IF(C38&lt;=0,0,MIN(C38+D38,Plan!$E$23))</f>
        <v/>
      </c>
      <c r="F38" s="44">
        <f>MAX(0,C38+D38-E38)</f>
        <v/>
      </c>
      <c r="G38" s="42">
        <f>J37</f>
        <v/>
      </c>
      <c r="H38" s="43">
        <f>IF(G38&gt;0,G38*Plan!$D$24/100/12,0)</f>
        <v/>
      </c>
      <c r="I38" s="42">
        <f>IF(G38&lt;=0,0,MIN(G38+H38,Plan!$E$24))</f>
        <v/>
      </c>
      <c r="J38" s="44">
        <f>MAX(0,G38+H38-I38)</f>
        <v/>
      </c>
      <c r="K38" s="42">
        <f>N37</f>
        <v/>
      </c>
      <c r="L38" s="43">
        <f>IF(K38&gt;0,K38*Plan!$D$25/100/12,0)</f>
        <v/>
      </c>
      <c r="M38" s="42">
        <f>IF(K38&lt;=0,0,MIN(K38+L38,Plan!$E$25))</f>
        <v/>
      </c>
      <c r="N38" s="44">
        <f>MAX(0,K38+L38-M38)</f>
        <v/>
      </c>
      <c r="O38" s="42">
        <f>R37</f>
        <v/>
      </c>
      <c r="P38" s="43">
        <f>IF(O38&gt;0,O38*Plan!$D$26/100/12,0)</f>
        <v/>
      </c>
      <c r="Q38" s="42">
        <f>IF(O38&lt;=0,0,MIN(O38+P38,Plan!$E$26))</f>
        <v/>
      </c>
      <c r="R38" s="44">
        <f>MAX(0,O38+P38-Q38)</f>
        <v/>
      </c>
      <c r="S38" s="42">
        <f>V37</f>
        <v/>
      </c>
      <c r="T38" s="43">
        <f>IF(S38&gt;0,S38*Plan!$D$27/100/12,0)</f>
        <v/>
      </c>
      <c r="U38" s="42">
        <f>IF(S38&lt;=0,0,MIN(S38+T38,Plan!$E$27))</f>
        <v/>
      </c>
      <c r="V38" s="44">
        <f>MAX(0,S38+T38-U38)</f>
        <v/>
      </c>
      <c r="W38" s="42">
        <f>Z37</f>
        <v/>
      </c>
      <c r="X38" s="43">
        <f>IF(W38&gt;0,W38*Plan!$D$28/100/12,0)</f>
        <v/>
      </c>
      <c r="Y38" s="42">
        <f>IF(W38&lt;=0,0,MIN(W38+X38,Plan!$E$28))</f>
        <v/>
      </c>
      <c r="Z38" s="44">
        <f>MAX(0,W38+X38-Y38)</f>
        <v/>
      </c>
      <c r="AA38" s="44">
        <f>F38+J38+N38+R38+V38+Z38</f>
        <v/>
      </c>
    </row>
    <row r="39">
      <c r="A39" s="46" t="n">
        <v>32</v>
      </c>
      <c r="B39" s="47">
        <f>EDATE(Plan!$C$18,31)</f>
        <v/>
      </c>
      <c r="C39" s="48">
        <f>F38</f>
        <v/>
      </c>
      <c r="D39" s="49">
        <f>IF(C39&gt;0,C39*Plan!$D$23/100/12,0)</f>
        <v/>
      </c>
      <c r="E39" s="48">
        <f>IF(C39&lt;=0,0,MIN(C39+D39,Plan!$E$23))</f>
        <v/>
      </c>
      <c r="F39" s="50">
        <f>MAX(0,C39+D39-E39)</f>
        <v/>
      </c>
      <c r="G39" s="48">
        <f>J38</f>
        <v/>
      </c>
      <c r="H39" s="49">
        <f>IF(G39&gt;0,G39*Plan!$D$24/100/12,0)</f>
        <v/>
      </c>
      <c r="I39" s="48">
        <f>IF(G39&lt;=0,0,MIN(G39+H39,Plan!$E$24))</f>
        <v/>
      </c>
      <c r="J39" s="50">
        <f>MAX(0,G39+H39-I39)</f>
        <v/>
      </c>
      <c r="K39" s="48">
        <f>N38</f>
        <v/>
      </c>
      <c r="L39" s="49">
        <f>IF(K39&gt;0,K39*Plan!$D$25/100/12,0)</f>
        <v/>
      </c>
      <c r="M39" s="48">
        <f>IF(K39&lt;=0,0,MIN(K39+L39,Plan!$E$25))</f>
        <v/>
      </c>
      <c r="N39" s="50">
        <f>MAX(0,K39+L39-M39)</f>
        <v/>
      </c>
      <c r="O39" s="48">
        <f>R38</f>
        <v/>
      </c>
      <c r="P39" s="49">
        <f>IF(O39&gt;0,O39*Plan!$D$26/100/12,0)</f>
        <v/>
      </c>
      <c r="Q39" s="48">
        <f>IF(O39&lt;=0,0,MIN(O39+P39,Plan!$E$26))</f>
        <v/>
      </c>
      <c r="R39" s="50">
        <f>MAX(0,O39+P39-Q39)</f>
        <v/>
      </c>
      <c r="S39" s="48">
        <f>V38</f>
        <v/>
      </c>
      <c r="T39" s="49">
        <f>IF(S39&gt;0,S39*Plan!$D$27/100/12,0)</f>
        <v/>
      </c>
      <c r="U39" s="48">
        <f>IF(S39&lt;=0,0,MIN(S39+T39,Plan!$E$27))</f>
        <v/>
      </c>
      <c r="V39" s="50">
        <f>MAX(0,S39+T39-U39)</f>
        <v/>
      </c>
      <c r="W39" s="48">
        <f>Z38</f>
        <v/>
      </c>
      <c r="X39" s="49">
        <f>IF(W39&gt;0,W39*Plan!$D$28/100/12,0)</f>
        <v/>
      </c>
      <c r="Y39" s="48">
        <f>IF(W39&lt;=0,0,MIN(W39+X39,Plan!$E$28))</f>
        <v/>
      </c>
      <c r="Z39" s="50">
        <f>MAX(0,W39+X39-Y39)</f>
        <v/>
      </c>
      <c r="AA39" s="50">
        <f>F39+J39+N39+R39+V39+Z39</f>
        <v/>
      </c>
    </row>
    <row r="40">
      <c r="A40" s="40" t="n">
        <v>33</v>
      </c>
      <c r="B40" s="41">
        <f>EDATE(Plan!$C$18,32)</f>
        <v/>
      </c>
      <c r="C40" s="42">
        <f>F39</f>
        <v/>
      </c>
      <c r="D40" s="43">
        <f>IF(C40&gt;0,C40*Plan!$D$23/100/12,0)</f>
        <v/>
      </c>
      <c r="E40" s="42">
        <f>IF(C40&lt;=0,0,MIN(C40+D40,Plan!$E$23))</f>
        <v/>
      </c>
      <c r="F40" s="44">
        <f>MAX(0,C40+D40-E40)</f>
        <v/>
      </c>
      <c r="G40" s="42">
        <f>J39</f>
        <v/>
      </c>
      <c r="H40" s="43">
        <f>IF(G40&gt;0,G40*Plan!$D$24/100/12,0)</f>
        <v/>
      </c>
      <c r="I40" s="42">
        <f>IF(G40&lt;=0,0,MIN(G40+H40,Plan!$E$24))</f>
        <v/>
      </c>
      <c r="J40" s="44">
        <f>MAX(0,G40+H40-I40)</f>
        <v/>
      </c>
      <c r="K40" s="42">
        <f>N39</f>
        <v/>
      </c>
      <c r="L40" s="43">
        <f>IF(K40&gt;0,K40*Plan!$D$25/100/12,0)</f>
        <v/>
      </c>
      <c r="M40" s="42">
        <f>IF(K40&lt;=0,0,MIN(K40+L40,Plan!$E$25))</f>
        <v/>
      </c>
      <c r="N40" s="44">
        <f>MAX(0,K40+L40-M40)</f>
        <v/>
      </c>
      <c r="O40" s="42">
        <f>R39</f>
        <v/>
      </c>
      <c r="P40" s="43">
        <f>IF(O40&gt;0,O40*Plan!$D$26/100/12,0)</f>
        <v/>
      </c>
      <c r="Q40" s="42">
        <f>IF(O40&lt;=0,0,MIN(O40+P40,Plan!$E$26))</f>
        <v/>
      </c>
      <c r="R40" s="44">
        <f>MAX(0,O40+P40-Q40)</f>
        <v/>
      </c>
      <c r="S40" s="42">
        <f>V39</f>
        <v/>
      </c>
      <c r="T40" s="43">
        <f>IF(S40&gt;0,S40*Plan!$D$27/100/12,0)</f>
        <v/>
      </c>
      <c r="U40" s="42">
        <f>IF(S40&lt;=0,0,MIN(S40+T40,Plan!$E$27))</f>
        <v/>
      </c>
      <c r="V40" s="44">
        <f>MAX(0,S40+T40-U40)</f>
        <v/>
      </c>
      <c r="W40" s="42">
        <f>Z39</f>
        <v/>
      </c>
      <c r="X40" s="43">
        <f>IF(W40&gt;0,W40*Plan!$D$28/100/12,0)</f>
        <v/>
      </c>
      <c r="Y40" s="42">
        <f>IF(W40&lt;=0,0,MIN(W40+X40,Plan!$E$28))</f>
        <v/>
      </c>
      <c r="Z40" s="44">
        <f>MAX(0,W40+X40-Y40)</f>
        <v/>
      </c>
      <c r="AA40" s="44">
        <f>F40+J40+N40+R40+V40+Z40</f>
        <v/>
      </c>
    </row>
    <row r="41">
      <c r="A41" s="46" t="n">
        <v>34</v>
      </c>
      <c r="B41" s="47">
        <f>EDATE(Plan!$C$18,33)</f>
        <v/>
      </c>
      <c r="C41" s="48">
        <f>F40</f>
        <v/>
      </c>
      <c r="D41" s="49">
        <f>IF(C41&gt;0,C41*Plan!$D$23/100/12,0)</f>
        <v/>
      </c>
      <c r="E41" s="48">
        <f>IF(C41&lt;=0,0,MIN(C41+D41,Plan!$E$23))</f>
        <v/>
      </c>
      <c r="F41" s="50">
        <f>MAX(0,C41+D41-E41)</f>
        <v/>
      </c>
      <c r="G41" s="48">
        <f>J40</f>
        <v/>
      </c>
      <c r="H41" s="49">
        <f>IF(G41&gt;0,G41*Plan!$D$24/100/12,0)</f>
        <v/>
      </c>
      <c r="I41" s="48">
        <f>IF(G41&lt;=0,0,MIN(G41+H41,Plan!$E$24))</f>
        <v/>
      </c>
      <c r="J41" s="50">
        <f>MAX(0,G41+H41-I41)</f>
        <v/>
      </c>
      <c r="K41" s="48">
        <f>N40</f>
        <v/>
      </c>
      <c r="L41" s="49">
        <f>IF(K41&gt;0,K41*Plan!$D$25/100/12,0)</f>
        <v/>
      </c>
      <c r="M41" s="48">
        <f>IF(K41&lt;=0,0,MIN(K41+L41,Plan!$E$25))</f>
        <v/>
      </c>
      <c r="N41" s="50">
        <f>MAX(0,K41+L41-M41)</f>
        <v/>
      </c>
      <c r="O41" s="48">
        <f>R40</f>
        <v/>
      </c>
      <c r="P41" s="49">
        <f>IF(O41&gt;0,O41*Plan!$D$26/100/12,0)</f>
        <v/>
      </c>
      <c r="Q41" s="48">
        <f>IF(O41&lt;=0,0,MIN(O41+P41,Plan!$E$26))</f>
        <v/>
      </c>
      <c r="R41" s="50">
        <f>MAX(0,O41+P41-Q41)</f>
        <v/>
      </c>
      <c r="S41" s="48">
        <f>V40</f>
        <v/>
      </c>
      <c r="T41" s="49">
        <f>IF(S41&gt;0,S41*Plan!$D$27/100/12,0)</f>
        <v/>
      </c>
      <c r="U41" s="48">
        <f>IF(S41&lt;=0,0,MIN(S41+T41,Plan!$E$27))</f>
        <v/>
      </c>
      <c r="V41" s="50">
        <f>MAX(0,S41+T41-U41)</f>
        <v/>
      </c>
      <c r="W41" s="48">
        <f>Z40</f>
        <v/>
      </c>
      <c r="X41" s="49">
        <f>IF(W41&gt;0,W41*Plan!$D$28/100/12,0)</f>
        <v/>
      </c>
      <c r="Y41" s="48">
        <f>IF(W41&lt;=0,0,MIN(W41+X41,Plan!$E$28))</f>
        <v/>
      </c>
      <c r="Z41" s="50">
        <f>MAX(0,W41+X41-Y41)</f>
        <v/>
      </c>
      <c r="AA41" s="50">
        <f>F41+J41+N41+R41+V41+Z41</f>
        <v/>
      </c>
    </row>
    <row r="42">
      <c r="A42" s="40" t="n">
        <v>35</v>
      </c>
      <c r="B42" s="41">
        <f>EDATE(Plan!$C$18,34)</f>
        <v/>
      </c>
      <c r="C42" s="42">
        <f>F41</f>
        <v/>
      </c>
      <c r="D42" s="43">
        <f>IF(C42&gt;0,C42*Plan!$D$23/100/12,0)</f>
        <v/>
      </c>
      <c r="E42" s="42">
        <f>IF(C42&lt;=0,0,MIN(C42+D42,Plan!$E$23))</f>
        <v/>
      </c>
      <c r="F42" s="44">
        <f>MAX(0,C42+D42-E42)</f>
        <v/>
      </c>
      <c r="G42" s="42">
        <f>J41</f>
        <v/>
      </c>
      <c r="H42" s="43">
        <f>IF(G42&gt;0,G42*Plan!$D$24/100/12,0)</f>
        <v/>
      </c>
      <c r="I42" s="42">
        <f>IF(G42&lt;=0,0,MIN(G42+H42,Plan!$E$24))</f>
        <v/>
      </c>
      <c r="J42" s="44">
        <f>MAX(0,G42+H42-I42)</f>
        <v/>
      </c>
      <c r="K42" s="42">
        <f>N41</f>
        <v/>
      </c>
      <c r="L42" s="43">
        <f>IF(K42&gt;0,K42*Plan!$D$25/100/12,0)</f>
        <v/>
      </c>
      <c r="M42" s="42">
        <f>IF(K42&lt;=0,0,MIN(K42+L42,Plan!$E$25))</f>
        <v/>
      </c>
      <c r="N42" s="44">
        <f>MAX(0,K42+L42-M42)</f>
        <v/>
      </c>
      <c r="O42" s="42">
        <f>R41</f>
        <v/>
      </c>
      <c r="P42" s="43">
        <f>IF(O42&gt;0,O42*Plan!$D$26/100/12,0)</f>
        <v/>
      </c>
      <c r="Q42" s="42">
        <f>IF(O42&lt;=0,0,MIN(O42+P42,Plan!$E$26))</f>
        <v/>
      </c>
      <c r="R42" s="44">
        <f>MAX(0,O42+P42-Q42)</f>
        <v/>
      </c>
      <c r="S42" s="42">
        <f>V41</f>
        <v/>
      </c>
      <c r="T42" s="43">
        <f>IF(S42&gt;0,S42*Plan!$D$27/100/12,0)</f>
        <v/>
      </c>
      <c r="U42" s="42">
        <f>IF(S42&lt;=0,0,MIN(S42+T42,Plan!$E$27))</f>
        <v/>
      </c>
      <c r="V42" s="44">
        <f>MAX(0,S42+T42-U42)</f>
        <v/>
      </c>
      <c r="W42" s="42">
        <f>Z41</f>
        <v/>
      </c>
      <c r="X42" s="43">
        <f>IF(W42&gt;0,W42*Plan!$D$28/100/12,0)</f>
        <v/>
      </c>
      <c r="Y42" s="42">
        <f>IF(W42&lt;=0,0,MIN(W42+X42,Plan!$E$28))</f>
        <v/>
      </c>
      <c r="Z42" s="44">
        <f>MAX(0,W42+X42-Y42)</f>
        <v/>
      </c>
      <c r="AA42" s="44">
        <f>F42+J42+N42+R42+V42+Z42</f>
        <v/>
      </c>
    </row>
    <row r="43">
      <c r="A43" s="46" t="n">
        <v>36</v>
      </c>
      <c r="B43" s="47">
        <f>EDATE(Plan!$C$18,35)</f>
        <v/>
      </c>
      <c r="C43" s="48">
        <f>F42</f>
        <v/>
      </c>
      <c r="D43" s="49">
        <f>IF(C43&gt;0,C43*Plan!$D$23/100/12,0)</f>
        <v/>
      </c>
      <c r="E43" s="48">
        <f>IF(C43&lt;=0,0,MIN(C43+D43,Plan!$E$23))</f>
        <v/>
      </c>
      <c r="F43" s="50">
        <f>MAX(0,C43+D43-E43)</f>
        <v/>
      </c>
      <c r="G43" s="48">
        <f>J42</f>
        <v/>
      </c>
      <c r="H43" s="49">
        <f>IF(G43&gt;0,G43*Plan!$D$24/100/12,0)</f>
        <v/>
      </c>
      <c r="I43" s="48">
        <f>IF(G43&lt;=0,0,MIN(G43+H43,Plan!$E$24))</f>
        <v/>
      </c>
      <c r="J43" s="50">
        <f>MAX(0,G43+H43-I43)</f>
        <v/>
      </c>
      <c r="K43" s="48">
        <f>N42</f>
        <v/>
      </c>
      <c r="L43" s="49">
        <f>IF(K43&gt;0,K43*Plan!$D$25/100/12,0)</f>
        <v/>
      </c>
      <c r="M43" s="48">
        <f>IF(K43&lt;=0,0,MIN(K43+L43,Plan!$E$25))</f>
        <v/>
      </c>
      <c r="N43" s="50">
        <f>MAX(0,K43+L43-M43)</f>
        <v/>
      </c>
      <c r="O43" s="48">
        <f>R42</f>
        <v/>
      </c>
      <c r="P43" s="49">
        <f>IF(O43&gt;0,O43*Plan!$D$26/100/12,0)</f>
        <v/>
      </c>
      <c r="Q43" s="48">
        <f>IF(O43&lt;=0,0,MIN(O43+P43,Plan!$E$26))</f>
        <v/>
      </c>
      <c r="R43" s="50">
        <f>MAX(0,O43+P43-Q43)</f>
        <v/>
      </c>
      <c r="S43" s="48">
        <f>V42</f>
        <v/>
      </c>
      <c r="T43" s="49">
        <f>IF(S43&gt;0,S43*Plan!$D$27/100/12,0)</f>
        <v/>
      </c>
      <c r="U43" s="48">
        <f>IF(S43&lt;=0,0,MIN(S43+T43,Plan!$E$27))</f>
        <v/>
      </c>
      <c r="V43" s="50">
        <f>MAX(0,S43+T43-U43)</f>
        <v/>
      </c>
      <c r="W43" s="48">
        <f>Z42</f>
        <v/>
      </c>
      <c r="X43" s="49">
        <f>IF(W43&gt;0,W43*Plan!$D$28/100/12,0)</f>
        <v/>
      </c>
      <c r="Y43" s="48">
        <f>IF(W43&lt;=0,0,MIN(W43+X43,Plan!$E$28))</f>
        <v/>
      </c>
      <c r="Z43" s="50">
        <f>MAX(0,W43+X43-Y43)</f>
        <v/>
      </c>
      <c r="AA43" s="50">
        <f>F43+J43+N43+R43+V43+Z43</f>
        <v/>
      </c>
    </row>
    <row r="44">
      <c r="A44" s="40" t="n">
        <v>37</v>
      </c>
      <c r="B44" s="41">
        <f>EDATE(Plan!$C$18,36)</f>
        <v/>
      </c>
      <c r="C44" s="42">
        <f>F43</f>
        <v/>
      </c>
      <c r="D44" s="43">
        <f>IF(C44&gt;0,C44*Plan!$D$23/100/12,0)</f>
        <v/>
      </c>
      <c r="E44" s="42">
        <f>IF(C44&lt;=0,0,MIN(C44+D44,Plan!$E$23))</f>
        <v/>
      </c>
      <c r="F44" s="44">
        <f>MAX(0,C44+D44-E44)</f>
        <v/>
      </c>
      <c r="G44" s="42">
        <f>J43</f>
        <v/>
      </c>
      <c r="H44" s="43">
        <f>IF(G44&gt;0,G44*Plan!$D$24/100/12,0)</f>
        <v/>
      </c>
      <c r="I44" s="42">
        <f>IF(G44&lt;=0,0,MIN(G44+H44,Plan!$E$24))</f>
        <v/>
      </c>
      <c r="J44" s="44">
        <f>MAX(0,G44+H44-I44)</f>
        <v/>
      </c>
      <c r="K44" s="42">
        <f>N43</f>
        <v/>
      </c>
      <c r="L44" s="43">
        <f>IF(K44&gt;0,K44*Plan!$D$25/100/12,0)</f>
        <v/>
      </c>
      <c r="M44" s="42">
        <f>IF(K44&lt;=0,0,MIN(K44+L44,Plan!$E$25))</f>
        <v/>
      </c>
      <c r="N44" s="44">
        <f>MAX(0,K44+L44-M44)</f>
        <v/>
      </c>
      <c r="O44" s="42">
        <f>R43</f>
        <v/>
      </c>
      <c r="P44" s="43">
        <f>IF(O44&gt;0,O44*Plan!$D$26/100/12,0)</f>
        <v/>
      </c>
      <c r="Q44" s="42">
        <f>IF(O44&lt;=0,0,MIN(O44+P44,Plan!$E$26))</f>
        <v/>
      </c>
      <c r="R44" s="44">
        <f>MAX(0,O44+P44-Q44)</f>
        <v/>
      </c>
      <c r="S44" s="42">
        <f>V43</f>
        <v/>
      </c>
      <c r="T44" s="43">
        <f>IF(S44&gt;0,S44*Plan!$D$27/100/12,0)</f>
        <v/>
      </c>
      <c r="U44" s="42">
        <f>IF(S44&lt;=0,0,MIN(S44+T44,Plan!$E$27))</f>
        <v/>
      </c>
      <c r="V44" s="44">
        <f>MAX(0,S44+T44-U44)</f>
        <v/>
      </c>
      <c r="W44" s="42">
        <f>Z43</f>
        <v/>
      </c>
      <c r="X44" s="43">
        <f>IF(W44&gt;0,W44*Plan!$D$28/100/12,0)</f>
        <v/>
      </c>
      <c r="Y44" s="42">
        <f>IF(W44&lt;=0,0,MIN(W44+X44,Plan!$E$28))</f>
        <v/>
      </c>
      <c r="Z44" s="44">
        <f>MAX(0,W44+X44-Y44)</f>
        <v/>
      </c>
      <c r="AA44" s="44">
        <f>F44+J44+N44+R44+V44+Z44</f>
        <v/>
      </c>
    </row>
    <row r="45">
      <c r="A45" s="46" t="n">
        <v>38</v>
      </c>
      <c r="B45" s="47">
        <f>EDATE(Plan!$C$18,37)</f>
        <v/>
      </c>
      <c r="C45" s="48">
        <f>F44</f>
        <v/>
      </c>
      <c r="D45" s="49">
        <f>IF(C45&gt;0,C45*Plan!$D$23/100/12,0)</f>
        <v/>
      </c>
      <c r="E45" s="48">
        <f>IF(C45&lt;=0,0,MIN(C45+D45,Plan!$E$23))</f>
        <v/>
      </c>
      <c r="F45" s="50">
        <f>MAX(0,C45+D45-E45)</f>
        <v/>
      </c>
      <c r="G45" s="48">
        <f>J44</f>
        <v/>
      </c>
      <c r="H45" s="49">
        <f>IF(G45&gt;0,G45*Plan!$D$24/100/12,0)</f>
        <v/>
      </c>
      <c r="I45" s="48">
        <f>IF(G45&lt;=0,0,MIN(G45+H45,Plan!$E$24))</f>
        <v/>
      </c>
      <c r="J45" s="50">
        <f>MAX(0,G45+H45-I45)</f>
        <v/>
      </c>
      <c r="K45" s="48">
        <f>N44</f>
        <v/>
      </c>
      <c r="L45" s="49">
        <f>IF(K45&gt;0,K45*Plan!$D$25/100/12,0)</f>
        <v/>
      </c>
      <c r="M45" s="48">
        <f>IF(K45&lt;=0,0,MIN(K45+L45,Plan!$E$25))</f>
        <v/>
      </c>
      <c r="N45" s="50">
        <f>MAX(0,K45+L45-M45)</f>
        <v/>
      </c>
      <c r="O45" s="48">
        <f>R44</f>
        <v/>
      </c>
      <c r="P45" s="49">
        <f>IF(O45&gt;0,O45*Plan!$D$26/100/12,0)</f>
        <v/>
      </c>
      <c r="Q45" s="48">
        <f>IF(O45&lt;=0,0,MIN(O45+P45,Plan!$E$26))</f>
        <v/>
      </c>
      <c r="R45" s="50">
        <f>MAX(0,O45+P45-Q45)</f>
        <v/>
      </c>
      <c r="S45" s="48">
        <f>V44</f>
        <v/>
      </c>
      <c r="T45" s="49">
        <f>IF(S45&gt;0,S45*Plan!$D$27/100/12,0)</f>
        <v/>
      </c>
      <c r="U45" s="48">
        <f>IF(S45&lt;=0,0,MIN(S45+T45,Plan!$E$27))</f>
        <v/>
      </c>
      <c r="V45" s="50">
        <f>MAX(0,S45+T45-U45)</f>
        <v/>
      </c>
      <c r="W45" s="48">
        <f>Z44</f>
        <v/>
      </c>
      <c r="X45" s="49">
        <f>IF(W45&gt;0,W45*Plan!$D$28/100/12,0)</f>
        <v/>
      </c>
      <c r="Y45" s="48">
        <f>IF(W45&lt;=0,0,MIN(W45+X45,Plan!$E$28))</f>
        <v/>
      </c>
      <c r="Z45" s="50">
        <f>MAX(0,W45+X45-Y45)</f>
        <v/>
      </c>
      <c r="AA45" s="50">
        <f>F45+J45+N45+R45+V45+Z45</f>
        <v/>
      </c>
    </row>
    <row r="46">
      <c r="A46" s="40" t="n">
        <v>39</v>
      </c>
      <c r="B46" s="41">
        <f>EDATE(Plan!$C$18,38)</f>
        <v/>
      </c>
      <c r="C46" s="42">
        <f>F45</f>
        <v/>
      </c>
      <c r="D46" s="43">
        <f>IF(C46&gt;0,C46*Plan!$D$23/100/12,0)</f>
        <v/>
      </c>
      <c r="E46" s="42">
        <f>IF(C46&lt;=0,0,MIN(C46+D46,Plan!$E$23))</f>
        <v/>
      </c>
      <c r="F46" s="44">
        <f>MAX(0,C46+D46-E46)</f>
        <v/>
      </c>
      <c r="G46" s="42">
        <f>J45</f>
        <v/>
      </c>
      <c r="H46" s="43">
        <f>IF(G46&gt;0,G46*Plan!$D$24/100/12,0)</f>
        <v/>
      </c>
      <c r="I46" s="42">
        <f>IF(G46&lt;=0,0,MIN(G46+H46,Plan!$E$24))</f>
        <v/>
      </c>
      <c r="J46" s="44">
        <f>MAX(0,G46+H46-I46)</f>
        <v/>
      </c>
      <c r="K46" s="42">
        <f>N45</f>
        <v/>
      </c>
      <c r="L46" s="43">
        <f>IF(K46&gt;0,K46*Plan!$D$25/100/12,0)</f>
        <v/>
      </c>
      <c r="M46" s="42">
        <f>IF(K46&lt;=0,0,MIN(K46+L46,Plan!$E$25))</f>
        <v/>
      </c>
      <c r="N46" s="44">
        <f>MAX(0,K46+L46-M46)</f>
        <v/>
      </c>
      <c r="O46" s="42">
        <f>R45</f>
        <v/>
      </c>
      <c r="P46" s="43">
        <f>IF(O46&gt;0,O46*Plan!$D$26/100/12,0)</f>
        <v/>
      </c>
      <c r="Q46" s="42">
        <f>IF(O46&lt;=0,0,MIN(O46+P46,Plan!$E$26))</f>
        <v/>
      </c>
      <c r="R46" s="44">
        <f>MAX(0,O46+P46-Q46)</f>
        <v/>
      </c>
      <c r="S46" s="42">
        <f>V45</f>
        <v/>
      </c>
      <c r="T46" s="43">
        <f>IF(S46&gt;0,S46*Plan!$D$27/100/12,0)</f>
        <v/>
      </c>
      <c r="U46" s="42">
        <f>IF(S46&lt;=0,0,MIN(S46+T46,Plan!$E$27))</f>
        <v/>
      </c>
      <c r="V46" s="44">
        <f>MAX(0,S46+T46-U46)</f>
        <v/>
      </c>
      <c r="W46" s="42">
        <f>Z45</f>
        <v/>
      </c>
      <c r="X46" s="43">
        <f>IF(W46&gt;0,W46*Plan!$D$28/100/12,0)</f>
        <v/>
      </c>
      <c r="Y46" s="42">
        <f>IF(W46&lt;=0,0,MIN(W46+X46,Plan!$E$28))</f>
        <v/>
      </c>
      <c r="Z46" s="44">
        <f>MAX(0,W46+X46-Y46)</f>
        <v/>
      </c>
      <c r="AA46" s="44">
        <f>F46+J46+N46+R46+V46+Z46</f>
        <v/>
      </c>
    </row>
    <row r="47">
      <c r="A47" s="46" t="n">
        <v>40</v>
      </c>
      <c r="B47" s="47">
        <f>EDATE(Plan!$C$18,39)</f>
        <v/>
      </c>
      <c r="C47" s="48">
        <f>F46</f>
        <v/>
      </c>
      <c r="D47" s="49">
        <f>IF(C47&gt;0,C47*Plan!$D$23/100/12,0)</f>
        <v/>
      </c>
      <c r="E47" s="48">
        <f>IF(C47&lt;=0,0,MIN(C47+D47,Plan!$E$23))</f>
        <v/>
      </c>
      <c r="F47" s="50">
        <f>MAX(0,C47+D47-E47)</f>
        <v/>
      </c>
      <c r="G47" s="48">
        <f>J46</f>
        <v/>
      </c>
      <c r="H47" s="49">
        <f>IF(G47&gt;0,G47*Plan!$D$24/100/12,0)</f>
        <v/>
      </c>
      <c r="I47" s="48">
        <f>IF(G47&lt;=0,0,MIN(G47+H47,Plan!$E$24))</f>
        <v/>
      </c>
      <c r="J47" s="50">
        <f>MAX(0,G47+H47-I47)</f>
        <v/>
      </c>
      <c r="K47" s="48">
        <f>N46</f>
        <v/>
      </c>
      <c r="L47" s="49">
        <f>IF(K47&gt;0,K47*Plan!$D$25/100/12,0)</f>
        <v/>
      </c>
      <c r="M47" s="48">
        <f>IF(K47&lt;=0,0,MIN(K47+L47,Plan!$E$25))</f>
        <v/>
      </c>
      <c r="N47" s="50">
        <f>MAX(0,K47+L47-M47)</f>
        <v/>
      </c>
      <c r="O47" s="48">
        <f>R46</f>
        <v/>
      </c>
      <c r="P47" s="49">
        <f>IF(O47&gt;0,O47*Plan!$D$26/100/12,0)</f>
        <v/>
      </c>
      <c r="Q47" s="48">
        <f>IF(O47&lt;=0,0,MIN(O47+P47,Plan!$E$26))</f>
        <v/>
      </c>
      <c r="R47" s="50">
        <f>MAX(0,O47+P47-Q47)</f>
        <v/>
      </c>
      <c r="S47" s="48">
        <f>V46</f>
        <v/>
      </c>
      <c r="T47" s="49">
        <f>IF(S47&gt;0,S47*Plan!$D$27/100/12,0)</f>
        <v/>
      </c>
      <c r="U47" s="48">
        <f>IF(S47&lt;=0,0,MIN(S47+T47,Plan!$E$27))</f>
        <v/>
      </c>
      <c r="V47" s="50">
        <f>MAX(0,S47+T47-U47)</f>
        <v/>
      </c>
      <c r="W47" s="48">
        <f>Z46</f>
        <v/>
      </c>
      <c r="X47" s="49">
        <f>IF(W47&gt;0,W47*Plan!$D$28/100/12,0)</f>
        <v/>
      </c>
      <c r="Y47" s="48">
        <f>IF(W47&lt;=0,0,MIN(W47+X47,Plan!$E$28))</f>
        <v/>
      </c>
      <c r="Z47" s="50">
        <f>MAX(0,W47+X47-Y47)</f>
        <v/>
      </c>
      <c r="AA47" s="50">
        <f>F47+J47+N47+R47+V47+Z47</f>
        <v/>
      </c>
    </row>
    <row r="48">
      <c r="A48" s="40" t="n">
        <v>41</v>
      </c>
      <c r="B48" s="41">
        <f>EDATE(Plan!$C$18,40)</f>
        <v/>
      </c>
      <c r="C48" s="42">
        <f>F47</f>
        <v/>
      </c>
      <c r="D48" s="43">
        <f>IF(C48&gt;0,C48*Plan!$D$23/100/12,0)</f>
        <v/>
      </c>
      <c r="E48" s="42">
        <f>IF(C48&lt;=0,0,MIN(C48+D48,Plan!$E$23))</f>
        <v/>
      </c>
      <c r="F48" s="44">
        <f>MAX(0,C48+D48-E48)</f>
        <v/>
      </c>
      <c r="G48" s="42">
        <f>J47</f>
        <v/>
      </c>
      <c r="H48" s="43">
        <f>IF(G48&gt;0,G48*Plan!$D$24/100/12,0)</f>
        <v/>
      </c>
      <c r="I48" s="42">
        <f>IF(G48&lt;=0,0,MIN(G48+H48,Plan!$E$24))</f>
        <v/>
      </c>
      <c r="J48" s="44">
        <f>MAX(0,G48+H48-I48)</f>
        <v/>
      </c>
      <c r="K48" s="42">
        <f>N47</f>
        <v/>
      </c>
      <c r="L48" s="43">
        <f>IF(K48&gt;0,K48*Plan!$D$25/100/12,0)</f>
        <v/>
      </c>
      <c r="M48" s="42">
        <f>IF(K48&lt;=0,0,MIN(K48+L48,Plan!$E$25))</f>
        <v/>
      </c>
      <c r="N48" s="44">
        <f>MAX(0,K48+L48-M48)</f>
        <v/>
      </c>
      <c r="O48" s="42">
        <f>R47</f>
        <v/>
      </c>
      <c r="P48" s="43">
        <f>IF(O48&gt;0,O48*Plan!$D$26/100/12,0)</f>
        <v/>
      </c>
      <c r="Q48" s="42">
        <f>IF(O48&lt;=0,0,MIN(O48+P48,Plan!$E$26))</f>
        <v/>
      </c>
      <c r="R48" s="44">
        <f>MAX(0,O48+P48-Q48)</f>
        <v/>
      </c>
      <c r="S48" s="42">
        <f>V47</f>
        <v/>
      </c>
      <c r="T48" s="43">
        <f>IF(S48&gt;0,S48*Plan!$D$27/100/12,0)</f>
        <v/>
      </c>
      <c r="U48" s="42">
        <f>IF(S48&lt;=0,0,MIN(S48+T48,Plan!$E$27))</f>
        <v/>
      </c>
      <c r="V48" s="44">
        <f>MAX(0,S48+T48-U48)</f>
        <v/>
      </c>
      <c r="W48" s="42">
        <f>Z47</f>
        <v/>
      </c>
      <c r="X48" s="43">
        <f>IF(W48&gt;0,W48*Plan!$D$28/100/12,0)</f>
        <v/>
      </c>
      <c r="Y48" s="42">
        <f>IF(W48&lt;=0,0,MIN(W48+X48,Plan!$E$28))</f>
        <v/>
      </c>
      <c r="Z48" s="44">
        <f>MAX(0,W48+X48-Y48)</f>
        <v/>
      </c>
      <c r="AA48" s="44">
        <f>F48+J48+N48+R48+V48+Z48</f>
        <v/>
      </c>
    </row>
    <row r="49">
      <c r="A49" s="46" t="n">
        <v>42</v>
      </c>
      <c r="B49" s="47">
        <f>EDATE(Plan!$C$18,41)</f>
        <v/>
      </c>
      <c r="C49" s="48">
        <f>F48</f>
        <v/>
      </c>
      <c r="D49" s="49">
        <f>IF(C49&gt;0,C49*Plan!$D$23/100/12,0)</f>
        <v/>
      </c>
      <c r="E49" s="48">
        <f>IF(C49&lt;=0,0,MIN(C49+D49,Plan!$E$23))</f>
        <v/>
      </c>
      <c r="F49" s="50">
        <f>MAX(0,C49+D49-E49)</f>
        <v/>
      </c>
      <c r="G49" s="48">
        <f>J48</f>
        <v/>
      </c>
      <c r="H49" s="49">
        <f>IF(G49&gt;0,G49*Plan!$D$24/100/12,0)</f>
        <v/>
      </c>
      <c r="I49" s="48">
        <f>IF(G49&lt;=0,0,MIN(G49+H49,Plan!$E$24))</f>
        <v/>
      </c>
      <c r="J49" s="50">
        <f>MAX(0,G49+H49-I49)</f>
        <v/>
      </c>
      <c r="K49" s="48">
        <f>N48</f>
        <v/>
      </c>
      <c r="L49" s="49">
        <f>IF(K49&gt;0,K49*Plan!$D$25/100/12,0)</f>
        <v/>
      </c>
      <c r="M49" s="48">
        <f>IF(K49&lt;=0,0,MIN(K49+L49,Plan!$E$25))</f>
        <v/>
      </c>
      <c r="N49" s="50">
        <f>MAX(0,K49+L49-M49)</f>
        <v/>
      </c>
      <c r="O49" s="48">
        <f>R48</f>
        <v/>
      </c>
      <c r="P49" s="49">
        <f>IF(O49&gt;0,O49*Plan!$D$26/100/12,0)</f>
        <v/>
      </c>
      <c r="Q49" s="48">
        <f>IF(O49&lt;=0,0,MIN(O49+P49,Plan!$E$26))</f>
        <v/>
      </c>
      <c r="R49" s="50">
        <f>MAX(0,O49+P49-Q49)</f>
        <v/>
      </c>
      <c r="S49" s="48">
        <f>V48</f>
        <v/>
      </c>
      <c r="T49" s="49">
        <f>IF(S49&gt;0,S49*Plan!$D$27/100/12,0)</f>
        <v/>
      </c>
      <c r="U49" s="48">
        <f>IF(S49&lt;=0,0,MIN(S49+T49,Plan!$E$27))</f>
        <v/>
      </c>
      <c r="V49" s="50">
        <f>MAX(0,S49+T49-U49)</f>
        <v/>
      </c>
      <c r="W49" s="48">
        <f>Z48</f>
        <v/>
      </c>
      <c r="X49" s="49">
        <f>IF(W49&gt;0,W49*Plan!$D$28/100/12,0)</f>
        <v/>
      </c>
      <c r="Y49" s="48">
        <f>IF(W49&lt;=0,0,MIN(W49+X49,Plan!$E$28))</f>
        <v/>
      </c>
      <c r="Z49" s="50">
        <f>MAX(0,W49+X49-Y49)</f>
        <v/>
      </c>
      <c r="AA49" s="50">
        <f>F49+J49+N49+R49+V49+Z49</f>
        <v/>
      </c>
    </row>
    <row r="50">
      <c r="A50" s="40" t="n">
        <v>43</v>
      </c>
      <c r="B50" s="41">
        <f>EDATE(Plan!$C$18,42)</f>
        <v/>
      </c>
      <c r="C50" s="42">
        <f>F49</f>
        <v/>
      </c>
      <c r="D50" s="43">
        <f>IF(C50&gt;0,C50*Plan!$D$23/100/12,0)</f>
        <v/>
      </c>
      <c r="E50" s="42">
        <f>IF(C50&lt;=0,0,MIN(C50+D50,Plan!$E$23))</f>
        <v/>
      </c>
      <c r="F50" s="44">
        <f>MAX(0,C50+D50-E50)</f>
        <v/>
      </c>
      <c r="G50" s="42">
        <f>J49</f>
        <v/>
      </c>
      <c r="H50" s="43">
        <f>IF(G50&gt;0,G50*Plan!$D$24/100/12,0)</f>
        <v/>
      </c>
      <c r="I50" s="42">
        <f>IF(G50&lt;=0,0,MIN(G50+H50,Plan!$E$24))</f>
        <v/>
      </c>
      <c r="J50" s="44">
        <f>MAX(0,G50+H50-I50)</f>
        <v/>
      </c>
      <c r="K50" s="42">
        <f>N49</f>
        <v/>
      </c>
      <c r="L50" s="43">
        <f>IF(K50&gt;0,K50*Plan!$D$25/100/12,0)</f>
        <v/>
      </c>
      <c r="M50" s="42">
        <f>IF(K50&lt;=0,0,MIN(K50+L50,Plan!$E$25))</f>
        <v/>
      </c>
      <c r="N50" s="44">
        <f>MAX(0,K50+L50-M50)</f>
        <v/>
      </c>
      <c r="O50" s="42">
        <f>R49</f>
        <v/>
      </c>
      <c r="P50" s="43">
        <f>IF(O50&gt;0,O50*Plan!$D$26/100/12,0)</f>
        <v/>
      </c>
      <c r="Q50" s="42">
        <f>IF(O50&lt;=0,0,MIN(O50+P50,Plan!$E$26))</f>
        <v/>
      </c>
      <c r="R50" s="44">
        <f>MAX(0,O50+P50-Q50)</f>
        <v/>
      </c>
      <c r="S50" s="42">
        <f>V49</f>
        <v/>
      </c>
      <c r="T50" s="43">
        <f>IF(S50&gt;0,S50*Plan!$D$27/100/12,0)</f>
        <v/>
      </c>
      <c r="U50" s="42">
        <f>IF(S50&lt;=0,0,MIN(S50+T50,Plan!$E$27))</f>
        <v/>
      </c>
      <c r="V50" s="44">
        <f>MAX(0,S50+T50-U50)</f>
        <v/>
      </c>
      <c r="W50" s="42">
        <f>Z49</f>
        <v/>
      </c>
      <c r="X50" s="43">
        <f>IF(W50&gt;0,W50*Plan!$D$28/100/12,0)</f>
        <v/>
      </c>
      <c r="Y50" s="42">
        <f>IF(W50&lt;=0,0,MIN(W50+X50,Plan!$E$28))</f>
        <v/>
      </c>
      <c r="Z50" s="44">
        <f>MAX(0,W50+X50-Y50)</f>
        <v/>
      </c>
      <c r="AA50" s="44">
        <f>F50+J50+N50+R50+V50+Z50</f>
        <v/>
      </c>
    </row>
    <row r="51">
      <c r="A51" s="46" t="n">
        <v>44</v>
      </c>
      <c r="B51" s="47">
        <f>EDATE(Plan!$C$18,43)</f>
        <v/>
      </c>
      <c r="C51" s="48">
        <f>F50</f>
        <v/>
      </c>
      <c r="D51" s="49">
        <f>IF(C51&gt;0,C51*Plan!$D$23/100/12,0)</f>
        <v/>
      </c>
      <c r="E51" s="48">
        <f>IF(C51&lt;=0,0,MIN(C51+D51,Plan!$E$23))</f>
        <v/>
      </c>
      <c r="F51" s="50">
        <f>MAX(0,C51+D51-E51)</f>
        <v/>
      </c>
      <c r="G51" s="48">
        <f>J50</f>
        <v/>
      </c>
      <c r="H51" s="49">
        <f>IF(G51&gt;0,G51*Plan!$D$24/100/12,0)</f>
        <v/>
      </c>
      <c r="I51" s="48">
        <f>IF(G51&lt;=0,0,MIN(G51+H51,Plan!$E$24))</f>
        <v/>
      </c>
      <c r="J51" s="50">
        <f>MAX(0,G51+H51-I51)</f>
        <v/>
      </c>
      <c r="K51" s="48">
        <f>N50</f>
        <v/>
      </c>
      <c r="L51" s="49">
        <f>IF(K51&gt;0,K51*Plan!$D$25/100/12,0)</f>
        <v/>
      </c>
      <c r="M51" s="48">
        <f>IF(K51&lt;=0,0,MIN(K51+L51,Plan!$E$25))</f>
        <v/>
      </c>
      <c r="N51" s="50">
        <f>MAX(0,K51+L51-M51)</f>
        <v/>
      </c>
      <c r="O51" s="48">
        <f>R50</f>
        <v/>
      </c>
      <c r="P51" s="49">
        <f>IF(O51&gt;0,O51*Plan!$D$26/100/12,0)</f>
        <v/>
      </c>
      <c r="Q51" s="48">
        <f>IF(O51&lt;=0,0,MIN(O51+P51,Plan!$E$26))</f>
        <v/>
      </c>
      <c r="R51" s="50">
        <f>MAX(0,O51+P51-Q51)</f>
        <v/>
      </c>
      <c r="S51" s="48">
        <f>V50</f>
        <v/>
      </c>
      <c r="T51" s="49">
        <f>IF(S51&gt;0,S51*Plan!$D$27/100/12,0)</f>
        <v/>
      </c>
      <c r="U51" s="48">
        <f>IF(S51&lt;=0,0,MIN(S51+T51,Plan!$E$27))</f>
        <v/>
      </c>
      <c r="V51" s="50">
        <f>MAX(0,S51+T51-U51)</f>
        <v/>
      </c>
      <c r="W51" s="48">
        <f>Z50</f>
        <v/>
      </c>
      <c r="X51" s="49">
        <f>IF(W51&gt;0,W51*Plan!$D$28/100/12,0)</f>
        <v/>
      </c>
      <c r="Y51" s="48">
        <f>IF(W51&lt;=0,0,MIN(W51+X51,Plan!$E$28))</f>
        <v/>
      </c>
      <c r="Z51" s="50">
        <f>MAX(0,W51+X51-Y51)</f>
        <v/>
      </c>
      <c r="AA51" s="50">
        <f>F51+J51+N51+R51+V51+Z51</f>
        <v/>
      </c>
    </row>
    <row r="52">
      <c r="A52" s="40" t="n">
        <v>45</v>
      </c>
      <c r="B52" s="41">
        <f>EDATE(Plan!$C$18,44)</f>
        <v/>
      </c>
      <c r="C52" s="42">
        <f>F51</f>
        <v/>
      </c>
      <c r="D52" s="43">
        <f>IF(C52&gt;0,C52*Plan!$D$23/100/12,0)</f>
        <v/>
      </c>
      <c r="E52" s="42">
        <f>IF(C52&lt;=0,0,MIN(C52+D52,Plan!$E$23))</f>
        <v/>
      </c>
      <c r="F52" s="44">
        <f>MAX(0,C52+D52-E52)</f>
        <v/>
      </c>
      <c r="G52" s="42">
        <f>J51</f>
        <v/>
      </c>
      <c r="H52" s="43">
        <f>IF(G52&gt;0,G52*Plan!$D$24/100/12,0)</f>
        <v/>
      </c>
      <c r="I52" s="42">
        <f>IF(G52&lt;=0,0,MIN(G52+H52,Plan!$E$24))</f>
        <v/>
      </c>
      <c r="J52" s="44">
        <f>MAX(0,G52+H52-I52)</f>
        <v/>
      </c>
      <c r="K52" s="42">
        <f>N51</f>
        <v/>
      </c>
      <c r="L52" s="43">
        <f>IF(K52&gt;0,K52*Plan!$D$25/100/12,0)</f>
        <v/>
      </c>
      <c r="M52" s="42">
        <f>IF(K52&lt;=0,0,MIN(K52+L52,Plan!$E$25))</f>
        <v/>
      </c>
      <c r="N52" s="44">
        <f>MAX(0,K52+L52-M52)</f>
        <v/>
      </c>
      <c r="O52" s="42">
        <f>R51</f>
        <v/>
      </c>
      <c r="P52" s="43">
        <f>IF(O52&gt;0,O52*Plan!$D$26/100/12,0)</f>
        <v/>
      </c>
      <c r="Q52" s="42">
        <f>IF(O52&lt;=0,0,MIN(O52+P52,Plan!$E$26))</f>
        <v/>
      </c>
      <c r="R52" s="44">
        <f>MAX(0,O52+P52-Q52)</f>
        <v/>
      </c>
      <c r="S52" s="42">
        <f>V51</f>
        <v/>
      </c>
      <c r="T52" s="43">
        <f>IF(S52&gt;0,S52*Plan!$D$27/100/12,0)</f>
        <v/>
      </c>
      <c r="U52" s="42">
        <f>IF(S52&lt;=0,0,MIN(S52+T52,Plan!$E$27))</f>
        <v/>
      </c>
      <c r="V52" s="44">
        <f>MAX(0,S52+T52-U52)</f>
        <v/>
      </c>
      <c r="W52" s="42">
        <f>Z51</f>
        <v/>
      </c>
      <c r="X52" s="43">
        <f>IF(W52&gt;0,W52*Plan!$D$28/100/12,0)</f>
        <v/>
      </c>
      <c r="Y52" s="42">
        <f>IF(W52&lt;=0,0,MIN(W52+X52,Plan!$E$28))</f>
        <v/>
      </c>
      <c r="Z52" s="44">
        <f>MAX(0,W52+X52-Y52)</f>
        <v/>
      </c>
      <c r="AA52" s="44">
        <f>F52+J52+N52+R52+V52+Z52</f>
        <v/>
      </c>
    </row>
    <row r="53">
      <c r="A53" s="46" t="n">
        <v>46</v>
      </c>
      <c r="B53" s="47">
        <f>EDATE(Plan!$C$18,45)</f>
        <v/>
      </c>
      <c r="C53" s="48">
        <f>F52</f>
        <v/>
      </c>
      <c r="D53" s="49">
        <f>IF(C53&gt;0,C53*Plan!$D$23/100/12,0)</f>
        <v/>
      </c>
      <c r="E53" s="48">
        <f>IF(C53&lt;=0,0,MIN(C53+D53,Plan!$E$23))</f>
        <v/>
      </c>
      <c r="F53" s="50">
        <f>MAX(0,C53+D53-E53)</f>
        <v/>
      </c>
      <c r="G53" s="48">
        <f>J52</f>
        <v/>
      </c>
      <c r="H53" s="49">
        <f>IF(G53&gt;0,G53*Plan!$D$24/100/12,0)</f>
        <v/>
      </c>
      <c r="I53" s="48">
        <f>IF(G53&lt;=0,0,MIN(G53+H53,Plan!$E$24))</f>
        <v/>
      </c>
      <c r="J53" s="50">
        <f>MAX(0,G53+H53-I53)</f>
        <v/>
      </c>
      <c r="K53" s="48">
        <f>N52</f>
        <v/>
      </c>
      <c r="L53" s="49">
        <f>IF(K53&gt;0,K53*Plan!$D$25/100/12,0)</f>
        <v/>
      </c>
      <c r="M53" s="48">
        <f>IF(K53&lt;=0,0,MIN(K53+L53,Plan!$E$25))</f>
        <v/>
      </c>
      <c r="N53" s="50">
        <f>MAX(0,K53+L53-M53)</f>
        <v/>
      </c>
      <c r="O53" s="48">
        <f>R52</f>
        <v/>
      </c>
      <c r="P53" s="49">
        <f>IF(O53&gt;0,O53*Plan!$D$26/100/12,0)</f>
        <v/>
      </c>
      <c r="Q53" s="48">
        <f>IF(O53&lt;=0,0,MIN(O53+P53,Plan!$E$26))</f>
        <v/>
      </c>
      <c r="R53" s="50">
        <f>MAX(0,O53+P53-Q53)</f>
        <v/>
      </c>
      <c r="S53" s="48">
        <f>V52</f>
        <v/>
      </c>
      <c r="T53" s="49">
        <f>IF(S53&gt;0,S53*Plan!$D$27/100/12,0)</f>
        <v/>
      </c>
      <c r="U53" s="48">
        <f>IF(S53&lt;=0,0,MIN(S53+T53,Plan!$E$27))</f>
        <v/>
      </c>
      <c r="V53" s="50">
        <f>MAX(0,S53+T53-U53)</f>
        <v/>
      </c>
      <c r="W53" s="48">
        <f>Z52</f>
        <v/>
      </c>
      <c r="X53" s="49">
        <f>IF(W53&gt;0,W53*Plan!$D$28/100/12,0)</f>
        <v/>
      </c>
      <c r="Y53" s="48">
        <f>IF(W53&lt;=0,0,MIN(W53+X53,Plan!$E$28))</f>
        <v/>
      </c>
      <c r="Z53" s="50">
        <f>MAX(0,W53+X53-Y53)</f>
        <v/>
      </c>
      <c r="AA53" s="50">
        <f>F53+J53+N53+R53+V53+Z53</f>
        <v/>
      </c>
    </row>
    <row r="54">
      <c r="A54" s="40" t="n">
        <v>47</v>
      </c>
      <c r="B54" s="41">
        <f>EDATE(Plan!$C$18,46)</f>
        <v/>
      </c>
      <c r="C54" s="42">
        <f>F53</f>
        <v/>
      </c>
      <c r="D54" s="43">
        <f>IF(C54&gt;0,C54*Plan!$D$23/100/12,0)</f>
        <v/>
      </c>
      <c r="E54" s="42">
        <f>IF(C54&lt;=0,0,MIN(C54+D54,Plan!$E$23))</f>
        <v/>
      </c>
      <c r="F54" s="44">
        <f>MAX(0,C54+D54-E54)</f>
        <v/>
      </c>
      <c r="G54" s="42">
        <f>J53</f>
        <v/>
      </c>
      <c r="H54" s="43">
        <f>IF(G54&gt;0,G54*Plan!$D$24/100/12,0)</f>
        <v/>
      </c>
      <c r="I54" s="42">
        <f>IF(G54&lt;=0,0,MIN(G54+H54,Plan!$E$24))</f>
        <v/>
      </c>
      <c r="J54" s="44">
        <f>MAX(0,G54+H54-I54)</f>
        <v/>
      </c>
      <c r="K54" s="42">
        <f>N53</f>
        <v/>
      </c>
      <c r="L54" s="43">
        <f>IF(K54&gt;0,K54*Plan!$D$25/100/12,0)</f>
        <v/>
      </c>
      <c r="M54" s="42">
        <f>IF(K54&lt;=0,0,MIN(K54+L54,Plan!$E$25))</f>
        <v/>
      </c>
      <c r="N54" s="44">
        <f>MAX(0,K54+L54-M54)</f>
        <v/>
      </c>
      <c r="O54" s="42">
        <f>R53</f>
        <v/>
      </c>
      <c r="P54" s="43">
        <f>IF(O54&gt;0,O54*Plan!$D$26/100/12,0)</f>
        <v/>
      </c>
      <c r="Q54" s="42">
        <f>IF(O54&lt;=0,0,MIN(O54+P54,Plan!$E$26))</f>
        <v/>
      </c>
      <c r="R54" s="44">
        <f>MAX(0,O54+P54-Q54)</f>
        <v/>
      </c>
      <c r="S54" s="42">
        <f>V53</f>
        <v/>
      </c>
      <c r="T54" s="43">
        <f>IF(S54&gt;0,S54*Plan!$D$27/100/12,0)</f>
        <v/>
      </c>
      <c r="U54" s="42">
        <f>IF(S54&lt;=0,0,MIN(S54+T54,Plan!$E$27))</f>
        <v/>
      </c>
      <c r="V54" s="44">
        <f>MAX(0,S54+T54-U54)</f>
        <v/>
      </c>
      <c r="W54" s="42">
        <f>Z53</f>
        <v/>
      </c>
      <c r="X54" s="43">
        <f>IF(W54&gt;0,W54*Plan!$D$28/100/12,0)</f>
        <v/>
      </c>
      <c r="Y54" s="42">
        <f>IF(W54&lt;=0,0,MIN(W54+X54,Plan!$E$28))</f>
        <v/>
      </c>
      <c r="Z54" s="44">
        <f>MAX(0,W54+X54-Y54)</f>
        <v/>
      </c>
      <c r="AA54" s="44">
        <f>F54+J54+N54+R54+V54+Z54</f>
        <v/>
      </c>
    </row>
    <row r="55">
      <c r="A55" s="46" t="n">
        <v>48</v>
      </c>
      <c r="B55" s="47">
        <f>EDATE(Plan!$C$18,47)</f>
        <v/>
      </c>
      <c r="C55" s="48">
        <f>F54</f>
        <v/>
      </c>
      <c r="D55" s="49">
        <f>IF(C55&gt;0,C55*Plan!$D$23/100/12,0)</f>
        <v/>
      </c>
      <c r="E55" s="48">
        <f>IF(C55&lt;=0,0,MIN(C55+D55,Plan!$E$23))</f>
        <v/>
      </c>
      <c r="F55" s="50">
        <f>MAX(0,C55+D55-E55)</f>
        <v/>
      </c>
      <c r="G55" s="48">
        <f>J54</f>
        <v/>
      </c>
      <c r="H55" s="49">
        <f>IF(G55&gt;0,G55*Plan!$D$24/100/12,0)</f>
        <v/>
      </c>
      <c r="I55" s="48">
        <f>IF(G55&lt;=0,0,MIN(G55+H55,Plan!$E$24))</f>
        <v/>
      </c>
      <c r="J55" s="50">
        <f>MAX(0,G55+H55-I55)</f>
        <v/>
      </c>
      <c r="K55" s="48">
        <f>N54</f>
        <v/>
      </c>
      <c r="L55" s="49">
        <f>IF(K55&gt;0,K55*Plan!$D$25/100/12,0)</f>
        <v/>
      </c>
      <c r="M55" s="48">
        <f>IF(K55&lt;=0,0,MIN(K55+L55,Plan!$E$25))</f>
        <v/>
      </c>
      <c r="N55" s="50">
        <f>MAX(0,K55+L55-M55)</f>
        <v/>
      </c>
      <c r="O55" s="48">
        <f>R54</f>
        <v/>
      </c>
      <c r="P55" s="49">
        <f>IF(O55&gt;0,O55*Plan!$D$26/100/12,0)</f>
        <v/>
      </c>
      <c r="Q55" s="48">
        <f>IF(O55&lt;=0,0,MIN(O55+P55,Plan!$E$26))</f>
        <v/>
      </c>
      <c r="R55" s="50">
        <f>MAX(0,O55+P55-Q55)</f>
        <v/>
      </c>
      <c r="S55" s="48">
        <f>V54</f>
        <v/>
      </c>
      <c r="T55" s="49">
        <f>IF(S55&gt;0,S55*Plan!$D$27/100/12,0)</f>
        <v/>
      </c>
      <c r="U55" s="48">
        <f>IF(S55&lt;=0,0,MIN(S55+T55,Plan!$E$27))</f>
        <v/>
      </c>
      <c r="V55" s="50">
        <f>MAX(0,S55+T55-U55)</f>
        <v/>
      </c>
      <c r="W55" s="48">
        <f>Z54</f>
        <v/>
      </c>
      <c r="X55" s="49">
        <f>IF(W55&gt;0,W55*Plan!$D$28/100/12,0)</f>
        <v/>
      </c>
      <c r="Y55" s="48">
        <f>IF(W55&lt;=0,0,MIN(W55+X55,Plan!$E$28))</f>
        <v/>
      </c>
      <c r="Z55" s="50">
        <f>MAX(0,W55+X55-Y55)</f>
        <v/>
      </c>
      <c r="AA55" s="50">
        <f>F55+J55+N55+R55+V55+Z55</f>
        <v/>
      </c>
    </row>
    <row r="56">
      <c r="A56" s="40" t="n">
        <v>49</v>
      </c>
      <c r="B56" s="41">
        <f>EDATE(Plan!$C$18,48)</f>
        <v/>
      </c>
      <c r="C56" s="42">
        <f>F55</f>
        <v/>
      </c>
      <c r="D56" s="43">
        <f>IF(C56&gt;0,C56*Plan!$D$23/100/12,0)</f>
        <v/>
      </c>
      <c r="E56" s="42">
        <f>IF(C56&lt;=0,0,MIN(C56+D56,Plan!$E$23))</f>
        <v/>
      </c>
      <c r="F56" s="44">
        <f>MAX(0,C56+D56-E56)</f>
        <v/>
      </c>
      <c r="G56" s="42">
        <f>J55</f>
        <v/>
      </c>
      <c r="H56" s="43">
        <f>IF(G56&gt;0,G56*Plan!$D$24/100/12,0)</f>
        <v/>
      </c>
      <c r="I56" s="42">
        <f>IF(G56&lt;=0,0,MIN(G56+H56,Plan!$E$24))</f>
        <v/>
      </c>
      <c r="J56" s="44">
        <f>MAX(0,G56+H56-I56)</f>
        <v/>
      </c>
      <c r="K56" s="42">
        <f>N55</f>
        <v/>
      </c>
      <c r="L56" s="43">
        <f>IF(K56&gt;0,K56*Plan!$D$25/100/12,0)</f>
        <v/>
      </c>
      <c r="M56" s="42">
        <f>IF(K56&lt;=0,0,MIN(K56+L56,Plan!$E$25))</f>
        <v/>
      </c>
      <c r="N56" s="44">
        <f>MAX(0,K56+L56-M56)</f>
        <v/>
      </c>
      <c r="O56" s="42">
        <f>R55</f>
        <v/>
      </c>
      <c r="P56" s="43">
        <f>IF(O56&gt;0,O56*Plan!$D$26/100/12,0)</f>
        <v/>
      </c>
      <c r="Q56" s="42">
        <f>IF(O56&lt;=0,0,MIN(O56+P56,Plan!$E$26))</f>
        <v/>
      </c>
      <c r="R56" s="44">
        <f>MAX(0,O56+P56-Q56)</f>
        <v/>
      </c>
      <c r="S56" s="42">
        <f>V55</f>
        <v/>
      </c>
      <c r="T56" s="43">
        <f>IF(S56&gt;0,S56*Plan!$D$27/100/12,0)</f>
        <v/>
      </c>
      <c r="U56" s="42">
        <f>IF(S56&lt;=0,0,MIN(S56+T56,Plan!$E$27))</f>
        <v/>
      </c>
      <c r="V56" s="44">
        <f>MAX(0,S56+T56-U56)</f>
        <v/>
      </c>
      <c r="W56" s="42">
        <f>Z55</f>
        <v/>
      </c>
      <c r="X56" s="43">
        <f>IF(W56&gt;0,W56*Plan!$D$28/100/12,0)</f>
        <v/>
      </c>
      <c r="Y56" s="42">
        <f>IF(W56&lt;=0,0,MIN(W56+X56,Plan!$E$28))</f>
        <v/>
      </c>
      <c r="Z56" s="44">
        <f>MAX(0,W56+X56-Y56)</f>
        <v/>
      </c>
      <c r="AA56" s="44">
        <f>F56+J56+N56+R56+V56+Z56</f>
        <v/>
      </c>
    </row>
    <row r="57">
      <c r="A57" s="46" t="n">
        <v>50</v>
      </c>
      <c r="B57" s="47">
        <f>EDATE(Plan!$C$18,49)</f>
        <v/>
      </c>
      <c r="C57" s="48">
        <f>F56</f>
        <v/>
      </c>
      <c r="D57" s="49">
        <f>IF(C57&gt;0,C57*Plan!$D$23/100/12,0)</f>
        <v/>
      </c>
      <c r="E57" s="48">
        <f>IF(C57&lt;=0,0,MIN(C57+D57,Plan!$E$23))</f>
        <v/>
      </c>
      <c r="F57" s="50">
        <f>MAX(0,C57+D57-E57)</f>
        <v/>
      </c>
      <c r="G57" s="48">
        <f>J56</f>
        <v/>
      </c>
      <c r="H57" s="49">
        <f>IF(G57&gt;0,G57*Plan!$D$24/100/12,0)</f>
        <v/>
      </c>
      <c r="I57" s="48">
        <f>IF(G57&lt;=0,0,MIN(G57+H57,Plan!$E$24))</f>
        <v/>
      </c>
      <c r="J57" s="50">
        <f>MAX(0,G57+H57-I57)</f>
        <v/>
      </c>
      <c r="K57" s="48">
        <f>N56</f>
        <v/>
      </c>
      <c r="L57" s="49">
        <f>IF(K57&gt;0,K57*Plan!$D$25/100/12,0)</f>
        <v/>
      </c>
      <c r="M57" s="48">
        <f>IF(K57&lt;=0,0,MIN(K57+L57,Plan!$E$25))</f>
        <v/>
      </c>
      <c r="N57" s="50">
        <f>MAX(0,K57+L57-M57)</f>
        <v/>
      </c>
      <c r="O57" s="48">
        <f>R56</f>
        <v/>
      </c>
      <c r="P57" s="49">
        <f>IF(O57&gt;0,O57*Plan!$D$26/100/12,0)</f>
        <v/>
      </c>
      <c r="Q57" s="48">
        <f>IF(O57&lt;=0,0,MIN(O57+P57,Plan!$E$26))</f>
        <v/>
      </c>
      <c r="R57" s="50">
        <f>MAX(0,O57+P57-Q57)</f>
        <v/>
      </c>
      <c r="S57" s="48">
        <f>V56</f>
        <v/>
      </c>
      <c r="T57" s="49">
        <f>IF(S57&gt;0,S57*Plan!$D$27/100/12,0)</f>
        <v/>
      </c>
      <c r="U57" s="48">
        <f>IF(S57&lt;=0,0,MIN(S57+T57,Plan!$E$27))</f>
        <v/>
      </c>
      <c r="V57" s="50">
        <f>MAX(0,S57+T57-U57)</f>
        <v/>
      </c>
      <c r="W57" s="48">
        <f>Z56</f>
        <v/>
      </c>
      <c r="X57" s="49">
        <f>IF(W57&gt;0,W57*Plan!$D$28/100/12,0)</f>
        <v/>
      </c>
      <c r="Y57" s="48">
        <f>IF(W57&lt;=0,0,MIN(W57+X57,Plan!$E$28))</f>
        <v/>
      </c>
      <c r="Z57" s="50">
        <f>MAX(0,W57+X57-Y57)</f>
        <v/>
      </c>
      <c r="AA57" s="50">
        <f>F57+J57+N57+R57+V57+Z57</f>
        <v/>
      </c>
    </row>
    <row r="58">
      <c r="A58" s="40" t="n">
        <v>51</v>
      </c>
      <c r="B58" s="41">
        <f>EDATE(Plan!$C$18,50)</f>
        <v/>
      </c>
      <c r="C58" s="42">
        <f>F57</f>
        <v/>
      </c>
      <c r="D58" s="43">
        <f>IF(C58&gt;0,C58*Plan!$D$23/100/12,0)</f>
        <v/>
      </c>
      <c r="E58" s="42">
        <f>IF(C58&lt;=0,0,MIN(C58+D58,Plan!$E$23))</f>
        <v/>
      </c>
      <c r="F58" s="44">
        <f>MAX(0,C58+D58-E58)</f>
        <v/>
      </c>
      <c r="G58" s="42">
        <f>J57</f>
        <v/>
      </c>
      <c r="H58" s="43">
        <f>IF(G58&gt;0,G58*Plan!$D$24/100/12,0)</f>
        <v/>
      </c>
      <c r="I58" s="42">
        <f>IF(G58&lt;=0,0,MIN(G58+H58,Plan!$E$24))</f>
        <v/>
      </c>
      <c r="J58" s="44">
        <f>MAX(0,G58+H58-I58)</f>
        <v/>
      </c>
      <c r="K58" s="42">
        <f>N57</f>
        <v/>
      </c>
      <c r="L58" s="43">
        <f>IF(K58&gt;0,K58*Plan!$D$25/100/12,0)</f>
        <v/>
      </c>
      <c r="M58" s="42">
        <f>IF(K58&lt;=0,0,MIN(K58+L58,Plan!$E$25))</f>
        <v/>
      </c>
      <c r="N58" s="44">
        <f>MAX(0,K58+L58-M58)</f>
        <v/>
      </c>
      <c r="O58" s="42">
        <f>R57</f>
        <v/>
      </c>
      <c r="P58" s="43">
        <f>IF(O58&gt;0,O58*Plan!$D$26/100/12,0)</f>
        <v/>
      </c>
      <c r="Q58" s="42">
        <f>IF(O58&lt;=0,0,MIN(O58+P58,Plan!$E$26))</f>
        <v/>
      </c>
      <c r="R58" s="44">
        <f>MAX(0,O58+P58-Q58)</f>
        <v/>
      </c>
      <c r="S58" s="42">
        <f>V57</f>
        <v/>
      </c>
      <c r="T58" s="43">
        <f>IF(S58&gt;0,S58*Plan!$D$27/100/12,0)</f>
        <v/>
      </c>
      <c r="U58" s="42">
        <f>IF(S58&lt;=0,0,MIN(S58+T58,Plan!$E$27))</f>
        <v/>
      </c>
      <c r="V58" s="44">
        <f>MAX(0,S58+T58-U58)</f>
        <v/>
      </c>
      <c r="W58" s="42">
        <f>Z57</f>
        <v/>
      </c>
      <c r="X58" s="43">
        <f>IF(W58&gt;0,W58*Plan!$D$28/100/12,0)</f>
        <v/>
      </c>
      <c r="Y58" s="42">
        <f>IF(W58&lt;=0,0,MIN(W58+X58,Plan!$E$28))</f>
        <v/>
      </c>
      <c r="Z58" s="44">
        <f>MAX(0,W58+X58-Y58)</f>
        <v/>
      </c>
      <c r="AA58" s="44">
        <f>F58+J58+N58+R58+V58+Z58</f>
        <v/>
      </c>
    </row>
    <row r="59">
      <c r="A59" s="46" t="n">
        <v>52</v>
      </c>
      <c r="B59" s="47">
        <f>EDATE(Plan!$C$18,51)</f>
        <v/>
      </c>
      <c r="C59" s="48">
        <f>F58</f>
        <v/>
      </c>
      <c r="D59" s="49">
        <f>IF(C59&gt;0,C59*Plan!$D$23/100/12,0)</f>
        <v/>
      </c>
      <c r="E59" s="48">
        <f>IF(C59&lt;=0,0,MIN(C59+D59,Plan!$E$23))</f>
        <v/>
      </c>
      <c r="F59" s="50">
        <f>MAX(0,C59+D59-E59)</f>
        <v/>
      </c>
      <c r="G59" s="48">
        <f>J58</f>
        <v/>
      </c>
      <c r="H59" s="49">
        <f>IF(G59&gt;0,G59*Plan!$D$24/100/12,0)</f>
        <v/>
      </c>
      <c r="I59" s="48">
        <f>IF(G59&lt;=0,0,MIN(G59+H59,Plan!$E$24))</f>
        <v/>
      </c>
      <c r="J59" s="50">
        <f>MAX(0,G59+H59-I59)</f>
        <v/>
      </c>
      <c r="K59" s="48">
        <f>N58</f>
        <v/>
      </c>
      <c r="L59" s="49">
        <f>IF(K59&gt;0,K59*Plan!$D$25/100/12,0)</f>
        <v/>
      </c>
      <c r="M59" s="48">
        <f>IF(K59&lt;=0,0,MIN(K59+L59,Plan!$E$25))</f>
        <v/>
      </c>
      <c r="N59" s="50">
        <f>MAX(0,K59+L59-M59)</f>
        <v/>
      </c>
      <c r="O59" s="48">
        <f>R58</f>
        <v/>
      </c>
      <c r="P59" s="49">
        <f>IF(O59&gt;0,O59*Plan!$D$26/100/12,0)</f>
        <v/>
      </c>
      <c r="Q59" s="48">
        <f>IF(O59&lt;=0,0,MIN(O59+P59,Plan!$E$26))</f>
        <v/>
      </c>
      <c r="R59" s="50">
        <f>MAX(0,O59+P59-Q59)</f>
        <v/>
      </c>
      <c r="S59" s="48">
        <f>V58</f>
        <v/>
      </c>
      <c r="T59" s="49">
        <f>IF(S59&gt;0,S59*Plan!$D$27/100/12,0)</f>
        <v/>
      </c>
      <c r="U59" s="48">
        <f>IF(S59&lt;=0,0,MIN(S59+T59,Plan!$E$27))</f>
        <v/>
      </c>
      <c r="V59" s="50">
        <f>MAX(0,S59+T59-U59)</f>
        <v/>
      </c>
      <c r="W59" s="48">
        <f>Z58</f>
        <v/>
      </c>
      <c r="X59" s="49">
        <f>IF(W59&gt;0,W59*Plan!$D$28/100/12,0)</f>
        <v/>
      </c>
      <c r="Y59" s="48">
        <f>IF(W59&lt;=0,0,MIN(W59+X59,Plan!$E$28))</f>
        <v/>
      </c>
      <c r="Z59" s="50">
        <f>MAX(0,W59+X59-Y59)</f>
        <v/>
      </c>
      <c r="AA59" s="50">
        <f>F59+J59+N59+R59+V59+Z59</f>
        <v/>
      </c>
    </row>
    <row r="60">
      <c r="A60" s="40" t="n">
        <v>53</v>
      </c>
      <c r="B60" s="41">
        <f>EDATE(Plan!$C$18,52)</f>
        <v/>
      </c>
      <c r="C60" s="42">
        <f>F59</f>
        <v/>
      </c>
      <c r="D60" s="43">
        <f>IF(C60&gt;0,C60*Plan!$D$23/100/12,0)</f>
        <v/>
      </c>
      <c r="E60" s="42">
        <f>IF(C60&lt;=0,0,MIN(C60+D60,Plan!$E$23))</f>
        <v/>
      </c>
      <c r="F60" s="44">
        <f>MAX(0,C60+D60-E60)</f>
        <v/>
      </c>
      <c r="G60" s="42">
        <f>J59</f>
        <v/>
      </c>
      <c r="H60" s="43">
        <f>IF(G60&gt;0,G60*Plan!$D$24/100/12,0)</f>
        <v/>
      </c>
      <c r="I60" s="42">
        <f>IF(G60&lt;=0,0,MIN(G60+H60,Plan!$E$24))</f>
        <v/>
      </c>
      <c r="J60" s="44">
        <f>MAX(0,G60+H60-I60)</f>
        <v/>
      </c>
      <c r="K60" s="42">
        <f>N59</f>
        <v/>
      </c>
      <c r="L60" s="43">
        <f>IF(K60&gt;0,K60*Plan!$D$25/100/12,0)</f>
        <v/>
      </c>
      <c r="M60" s="42">
        <f>IF(K60&lt;=0,0,MIN(K60+L60,Plan!$E$25))</f>
        <v/>
      </c>
      <c r="N60" s="44">
        <f>MAX(0,K60+L60-M60)</f>
        <v/>
      </c>
      <c r="O60" s="42">
        <f>R59</f>
        <v/>
      </c>
      <c r="P60" s="43">
        <f>IF(O60&gt;0,O60*Plan!$D$26/100/12,0)</f>
        <v/>
      </c>
      <c r="Q60" s="42">
        <f>IF(O60&lt;=0,0,MIN(O60+P60,Plan!$E$26))</f>
        <v/>
      </c>
      <c r="R60" s="44">
        <f>MAX(0,O60+P60-Q60)</f>
        <v/>
      </c>
      <c r="S60" s="42">
        <f>V59</f>
        <v/>
      </c>
      <c r="T60" s="43">
        <f>IF(S60&gt;0,S60*Plan!$D$27/100/12,0)</f>
        <v/>
      </c>
      <c r="U60" s="42">
        <f>IF(S60&lt;=0,0,MIN(S60+T60,Plan!$E$27))</f>
        <v/>
      </c>
      <c r="V60" s="44">
        <f>MAX(0,S60+T60-U60)</f>
        <v/>
      </c>
      <c r="W60" s="42">
        <f>Z59</f>
        <v/>
      </c>
      <c r="X60" s="43">
        <f>IF(W60&gt;0,W60*Plan!$D$28/100/12,0)</f>
        <v/>
      </c>
      <c r="Y60" s="42">
        <f>IF(W60&lt;=0,0,MIN(W60+X60,Plan!$E$28))</f>
        <v/>
      </c>
      <c r="Z60" s="44">
        <f>MAX(0,W60+X60-Y60)</f>
        <v/>
      </c>
      <c r="AA60" s="44">
        <f>F60+J60+N60+R60+V60+Z60</f>
        <v/>
      </c>
    </row>
    <row r="61">
      <c r="A61" s="46" t="n">
        <v>54</v>
      </c>
      <c r="B61" s="47">
        <f>EDATE(Plan!$C$18,53)</f>
        <v/>
      </c>
      <c r="C61" s="48">
        <f>F60</f>
        <v/>
      </c>
      <c r="D61" s="49">
        <f>IF(C61&gt;0,C61*Plan!$D$23/100/12,0)</f>
        <v/>
      </c>
      <c r="E61" s="48">
        <f>IF(C61&lt;=0,0,MIN(C61+D61,Plan!$E$23))</f>
        <v/>
      </c>
      <c r="F61" s="50">
        <f>MAX(0,C61+D61-E61)</f>
        <v/>
      </c>
      <c r="G61" s="48">
        <f>J60</f>
        <v/>
      </c>
      <c r="H61" s="49">
        <f>IF(G61&gt;0,G61*Plan!$D$24/100/12,0)</f>
        <v/>
      </c>
      <c r="I61" s="48">
        <f>IF(G61&lt;=0,0,MIN(G61+H61,Plan!$E$24))</f>
        <v/>
      </c>
      <c r="J61" s="50">
        <f>MAX(0,G61+H61-I61)</f>
        <v/>
      </c>
      <c r="K61" s="48">
        <f>N60</f>
        <v/>
      </c>
      <c r="L61" s="49">
        <f>IF(K61&gt;0,K61*Plan!$D$25/100/12,0)</f>
        <v/>
      </c>
      <c r="M61" s="48">
        <f>IF(K61&lt;=0,0,MIN(K61+L61,Plan!$E$25))</f>
        <v/>
      </c>
      <c r="N61" s="50">
        <f>MAX(0,K61+L61-M61)</f>
        <v/>
      </c>
      <c r="O61" s="48">
        <f>R60</f>
        <v/>
      </c>
      <c r="P61" s="49">
        <f>IF(O61&gt;0,O61*Plan!$D$26/100/12,0)</f>
        <v/>
      </c>
      <c r="Q61" s="48">
        <f>IF(O61&lt;=0,0,MIN(O61+P61,Plan!$E$26))</f>
        <v/>
      </c>
      <c r="R61" s="50">
        <f>MAX(0,O61+P61-Q61)</f>
        <v/>
      </c>
      <c r="S61" s="48">
        <f>V60</f>
        <v/>
      </c>
      <c r="T61" s="49">
        <f>IF(S61&gt;0,S61*Plan!$D$27/100/12,0)</f>
        <v/>
      </c>
      <c r="U61" s="48">
        <f>IF(S61&lt;=0,0,MIN(S61+T61,Plan!$E$27))</f>
        <v/>
      </c>
      <c r="V61" s="50">
        <f>MAX(0,S61+T61-U61)</f>
        <v/>
      </c>
      <c r="W61" s="48">
        <f>Z60</f>
        <v/>
      </c>
      <c r="X61" s="49">
        <f>IF(W61&gt;0,W61*Plan!$D$28/100/12,0)</f>
        <v/>
      </c>
      <c r="Y61" s="48">
        <f>IF(W61&lt;=0,0,MIN(W61+X61,Plan!$E$28))</f>
        <v/>
      </c>
      <c r="Z61" s="50">
        <f>MAX(0,W61+X61-Y61)</f>
        <v/>
      </c>
      <c r="AA61" s="50">
        <f>F61+J61+N61+R61+V61+Z61</f>
        <v/>
      </c>
    </row>
    <row r="62">
      <c r="A62" s="40" t="n">
        <v>55</v>
      </c>
      <c r="B62" s="41">
        <f>EDATE(Plan!$C$18,54)</f>
        <v/>
      </c>
      <c r="C62" s="42">
        <f>F61</f>
        <v/>
      </c>
      <c r="D62" s="43">
        <f>IF(C62&gt;0,C62*Plan!$D$23/100/12,0)</f>
        <v/>
      </c>
      <c r="E62" s="42">
        <f>IF(C62&lt;=0,0,MIN(C62+D62,Plan!$E$23))</f>
        <v/>
      </c>
      <c r="F62" s="44">
        <f>MAX(0,C62+D62-E62)</f>
        <v/>
      </c>
      <c r="G62" s="42">
        <f>J61</f>
        <v/>
      </c>
      <c r="H62" s="43">
        <f>IF(G62&gt;0,G62*Plan!$D$24/100/12,0)</f>
        <v/>
      </c>
      <c r="I62" s="42">
        <f>IF(G62&lt;=0,0,MIN(G62+H62,Plan!$E$24))</f>
        <v/>
      </c>
      <c r="J62" s="44">
        <f>MAX(0,G62+H62-I62)</f>
        <v/>
      </c>
      <c r="K62" s="42">
        <f>N61</f>
        <v/>
      </c>
      <c r="L62" s="43">
        <f>IF(K62&gt;0,K62*Plan!$D$25/100/12,0)</f>
        <v/>
      </c>
      <c r="M62" s="42">
        <f>IF(K62&lt;=0,0,MIN(K62+L62,Plan!$E$25))</f>
        <v/>
      </c>
      <c r="N62" s="44">
        <f>MAX(0,K62+L62-M62)</f>
        <v/>
      </c>
      <c r="O62" s="42">
        <f>R61</f>
        <v/>
      </c>
      <c r="P62" s="43">
        <f>IF(O62&gt;0,O62*Plan!$D$26/100/12,0)</f>
        <v/>
      </c>
      <c r="Q62" s="42">
        <f>IF(O62&lt;=0,0,MIN(O62+P62,Plan!$E$26))</f>
        <v/>
      </c>
      <c r="R62" s="44">
        <f>MAX(0,O62+P62-Q62)</f>
        <v/>
      </c>
      <c r="S62" s="42">
        <f>V61</f>
        <v/>
      </c>
      <c r="T62" s="43">
        <f>IF(S62&gt;0,S62*Plan!$D$27/100/12,0)</f>
        <v/>
      </c>
      <c r="U62" s="42">
        <f>IF(S62&lt;=0,0,MIN(S62+T62,Plan!$E$27))</f>
        <v/>
      </c>
      <c r="V62" s="44">
        <f>MAX(0,S62+T62-U62)</f>
        <v/>
      </c>
      <c r="W62" s="42">
        <f>Z61</f>
        <v/>
      </c>
      <c r="X62" s="43">
        <f>IF(W62&gt;0,W62*Plan!$D$28/100/12,0)</f>
        <v/>
      </c>
      <c r="Y62" s="42">
        <f>IF(W62&lt;=0,0,MIN(W62+X62,Plan!$E$28))</f>
        <v/>
      </c>
      <c r="Z62" s="44">
        <f>MAX(0,W62+X62-Y62)</f>
        <v/>
      </c>
      <c r="AA62" s="44">
        <f>F62+J62+N62+R62+V62+Z62</f>
        <v/>
      </c>
    </row>
    <row r="63">
      <c r="A63" s="46" t="n">
        <v>56</v>
      </c>
      <c r="B63" s="47">
        <f>EDATE(Plan!$C$18,55)</f>
        <v/>
      </c>
      <c r="C63" s="48">
        <f>F62</f>
        <v/>
      </c>
      <c r="D63" s="49">
        <f>IF(C63&gt;0,C63*Plan!$D$23/100/12,0)</f>
        <v/>
      </c>
      <c r="E63" s="48">
        <f>IF(C63&lt;=0,0,MIN(C63+D63,Plan!$E$23))</f>
        <v/>
      </c>
      <c r="F63" s="50">
        <f>MAX(0,C63+D63-E63)</f>
        <v/>
      </c>
      <c r="G63" s="48">
        <f>J62</f>
        <v/>
      </c>
      <c r="H63" s="49">
        <f>IF(G63&gt;0,G63*Plan!$D$24/100/12,0)</f>
        <v/>
      </c>
      <c r="I63" s="48">
        <f>IF(G63&lt;=0,0,MIN(G63+H63,Plan!$E$24))</f>
        <v/>
      </c>
      <c r="J63" s="50">
        <f>MAX(0,G63+H63-I63)</f>
        <v/>
      </c>
      <c r="K63" s="48">
        <f>N62</f>
        <v/>
      </c>
      <c r="L63" s="49">
        <f>IF(K63&gt;0,K63*Plan!$D$25/100/12,0)</f>
        <v/>
      </c>
      <c r="M63" s="48">
        <f>IF(K63&lt;=0,0,MIN(K63+L63,Plan!$E$25))</f>
        <v/>
      </c>
      <c r="N63" s="50">
        <f>MAX(0,K63+L63-M63)</f>
        <v/>
      </c>
      <c r="O63" s="48">
        <f>R62</f>
        <v/>
      </c>
      <c r="P63" s="49">
        <f>IF(O63&gt;0,O63*Plan!$D$26/100/12,0)</f>
        <v/>
      </c>
      <c r="Q63" s="48">
        <f>IF(O63&lt;=0,0,MIN(O63+P63,Plan!$E$26))</f>
        <v/>
      </c>
      <c r="R63" s="50">
        <f>MAX(0,O63+P63-Q63)</f>
        <v/>
      </c>
      <c r="S63" s="48">
        <f>V62</f>
        <v/>
      </c>
      <c r="T63" s="49">
        <f>IF(S63&gt;0,S63*Plan!$D$27/100/12,0)</f>
        <v/>
      </c>
      <c r="U63" s="48">
        <f>IF(S63&lt;=0,0,MIN(S63+T63,Plan!$E$27))</f>
        <v/>
      </c>
      <c r="V63" s="50">
        <f>MAX(0,S63+T63-U63)</f>
        <v/>
      </c>
      <c r="W63" s="48">
        <f>Z62</f>
        <v/>
      </c>
      <c r="X63" s="49">
        <f>IF(W63&gt;0,W63*Plan!$D$28/100/12,0)</f>
        <v/>
      </c>
      <c r="Y63" s="48">
        <f>IF(W63&lt;=0,0,MIN(W63+X63,Plan!$E$28))</f>
        <v/>
      </c>
      <c r="Z63" s="50">
        <f>MAX(0,W63+X63-Y63)</f>
        <v/>
      </c>
      <c r="AA63" s="50">
        <f>F63+J63+N63+R63+V63+Z63</f>
        <v/>
      </c>
    </row>
    <row r="64">
      <c r="A64" s="40" t="n">
        <v>57</v>
      </c>
      <c r="B64" s="41">
        <f>EDATE(Plan!$C$18,56)</f>
        <v/>
      </c>
      <c r="C64" s="42">
        <f>F63</f>
        <v/>
      </c>
      <c r="D64" s="43">
        <f>IF(C64&gt;0,C64*Plan!$D$23/100/12,0)</f>
        <v/>
      </c>
      <c r="E64" s="42">
        <f>IF(C64&lt;=0,0,MIN(C64+D64,Plan!$E$23))</f>
        <v/>
      </c>
      <c r="F64" s="44">
        <f>MAX(0,C64+D64-E64)</f>
        <v/>
      </c>
      <c r="G64" s="42">
        <f>J63</f>
        <v/>
      </c>
      <c r="H64" s="43">
        <f>IF(G64&gt;0,G64*Plan!$D$24/100/12,0)</f>
        <v/>
      </c>
      <c r="I64" s="42">
        <f>IF(G64&lt;=0,0,MIN(G64+H64,Plan!$E$24))</f>
        <v/>
      </c>
      <c r="J64" s="44">
        <f>MAX(0,G64+H64-I64)</f>
        <v/>
      </c>
      <c r="K64" s="42">
        <f>N63</f>
        <v/>
      </c>
      <c r="L64" s="43">
        <f>IF(K64&gt;0,K64*Plan!$D$25/100/12,0)</f>
        <v/>
      </c>
      <c r="M64" s="42">
        <f>IF(K64&lt;=0,0,MIN(K64+L64,Plan!$E$25))</f>
        <v/>
      </c>
      <c r="N64" s="44">
        <f>MAX(0,K64+L64-M64)</f>
        <v/>
      </c>
      <c r="O64" s="42">
        <f>R63</f>
        <v/>
      </c>
      <c r="P64" s="43">
        <f>IF(O64&gt;0,O64*Plan!$D$26/100/12,0)</f>
        <v/>
      </c>
      <c r="Q64" s="42">
        <f>IF(O64&lt;=0,0,MIN(O64+P64,Plan!$E$26))</f>
        <v/>
      </c>
      <c r="R64" s="44">
        <f>MAX(0,O64+P64-Q64)</f>
        <v/>
      </c>
      <c r="S64" s="42">
        <f>V63</f>
        <v/>
      </c>
      <c r="T64" s="43">
        <f>IF(S64&gt;0,S64*Plan!$D$27/100/12,0)</f>
        <v/>
      </c>
      <c r="U64" s="42">
        <f>IF(S64&lt;=0,0,MIN(S64+T64,Plan!$E$27))</f>
        <v/>
      </c>
      <c r="V64" s="44">
        <f>MAX(0,S64+T64-U64)</f>
        <v/>
      </c>
      <c r="W64" s="42">
        <f>Z63</f>
        <v/>
      </c>
      <c r="X64" s="43">
        <f>IF(W64&gt;0,W64*Plan!$D$28/100/12,0)</f>
        <v/>
      </c>
      <c r="Y64" s="42">
        <f>IF(W64&lt;=0,0,MIN(W64+X64,Plan!$E$28))</f>
        <v/>
      </c>
      <c r="Z64" s="44">
        <f>MAX(0,W64+X64-Y64)</f>
        <v/>
      </c>
      <c r="AA64" s="44">
        <f>F64+J64+N64+R64+V64+Z64</f>
        <v/>
      </c>
    </row>
    <row r="65">
      <c r="A65" s="46" t="n">
        <v>58</v>
      </c>
      <c r="B65" s="47">
        <f>EDATE(Plan!$C$18,57)</f>
        <v/>
      </c>
      <c r="C65" s="48">
        <f>F64</f>
        <v/>
      </c>
      <c r="D65" s="49">
        <f>IF(C65&gt;0,C65*Plan!$D$23/100/12,0)</f>
        <v/>
      </c>
      <c r="E65" s="48">
        <f>IF(C65&lt;=0,0,MIN(C65+D65,Plan!$E$23))</f>
        <v/>
      </c>
      <c r="F65" s="50">
        <f>MAX(0,C65+D65-E65)</f>
        <v/>
      </c>
      <c r="G65" s="48">
        <f>J64</f>
        <v/>
      </c>
      <c r="H65" s="49">
        <f>IF(G65&gt;0,G65*Plan!$D$24/100/12,0)</f>
        <v/>
      </c>
      <c r="I65" s="48">
        <f>IF(G65&lt;=0,0,MIN(G65+H65,Plan!$E$24))</f>
        <v/>
      </c>
      <c r="J65" s="50">
        <f>MAX(0,G65+H65-I65)</f>
        <v/>
      </c>
      <c r="K65" s="48">
        <f>N64</f>
        <v/>
      </c>
      <c r="L65" s="49">
        <f>IF(K65&gt;0,K65*Plan!$D$25/100/12,0)</f>
        <v/>
      </c>
      <c r="M65" s="48">
        <f>IF(K65&lt;=0,0,MIN(K65+L65,Plan!$E$25))</f>
        <v/>
      </c>
      <c r="N65" s="50">
        <f>MAX(0,K65+L65-M65)</f>
        <v/>
      </c>
      <c r="O65" s="48">
        <f>R64</f>
        <v/>
      </c>
      <c r="P65" s="49">
        <f>IF(O65&gt;0,O65*Plan!$D$26/100/12,0)</f>
        <v/>
      </c>
      <c r="Q65" s="48">
        <f>IF(O65&lt;=0,0,MIN(O65+P65,Plan!$E$26))</f>
        <v/>
      </c>
      <c r="R65" s="50">
        <f>MAX(0,O65+P65-Q65)</f>
        <v/>
      </c>
      <c r="S65" s="48">
        <f>V64</f>
        <v/>
      </c>
      <c r="T65" s="49">
        <f>IF(S65&gt;0,S65*Plan!$D$27/100/12,0)</f>
        <v/>
      </c>
      <c r="U65" s="48">
        <f>IF(S65&lt;=0,0,MIN(S65+T65,Plan!$E$27))</f>
        <v/>
      </c>
      <c r="V65" s="50">
        <f>MAX(0,S65+T65-U65)</f>
        <v/>
      </c>
      <c r="W65" s="48">
        <f>Z64</f>
        <v/>
      </c>
      <c r="X65" s="49">
        <f>IF(W65&gt;0,W65*Plan!$D$28/100/12,0)</f>
        <v/>
      </c>
      <c r="Y65" s="48">
        <f>IF(W65&lt;=0,0,MIN(W65+X65,Plan!$E$28))</f>
        <v/>
      </c>
      <c r="Z65" s="50">
        <f>MAX(0,W65+X65-Y65)</f>
        <v/>
      </c>
      <c r="AA65" s="50">
        <f>F65+J65+N65+R65+V65+Z65</f>
        <v/>
      </c>
    </row>
    <row r="66">
      <c r="A66" s="40" t="n">
        <v>59</v>
      </c>
      <c r="B66" s="41">
        <f>EDATE(Plan!$C$18,58)</f>
        <v/>
      </c>
      <c r="C66" s="42">
        <f>F65</f>
        <v/>
      </c>
      <c r="D66" s="43">
        <f>IF(C66&gt;0,C66*Plan!$D$23/100/12,0)</f>
        <v/>
      </c>
      <c r="E66" s="42">
        <f>IF(C66&lt;=0,0,MIN(C66+D66,Plan!$E$23))</f>
        <v/>
      </c>
      <c r="F66" s="44">
        <f>MAX(0,C66+D66-E66)</f>
        <v/>
      </c>
      <c r="G66" s="42">
        <f>J65</f>
        <v/>
      </c>
      <c r="H66" s="43">
        <f>IF(G66&gt;0,G66*Plan!$D$24/100/12,0)</f>
        <v/>
      </c>
      <c r="I66" s="42">
        <f>IF(G66&lt;=0,0,MIN(G66+H66,Plan!$E$24))</f>
        <v/>
      </c>
      <c r="J66" s="44">
        <f>MAX(0,G66+H66-I66)</f>
        <v/>
      </c>
      <c r="K66" s="42">
        <f>N65</f>
        <v/>
      </c>
      <c r="L66" s="43">
        <f>IF(K66&gt;0,K66*Plan!$D$25/100/12,0)</f>
        <v/>
      </c>
      <c r="M66" s="42">
        <f>IF(K66&lt;=0,0,MIN(K66+L66,Plan!$E$25))</f>
        <v/>
      </c>
      <c r="N66" s="44">
        <f>MAX(0,K66+L66-M66)</f>
        <v/>
      </c>
      <c r="O66" s="42">
        <f>R65</f>
        <v/>
      </c>
      <c r="P66" s="43">
        <f>IF(O66&gt;0,O66*Plan!$D$26/100/12,0)</f>
        <v/>
      </c>
      <c r="Q66" s="42">
        <f>IF(O66&lt;=0,0,MIN(O66+P66,Plan!$E$26))</f>
        <v/>
      </c>
      <c r="R66" s="44">
        <f>MAX(0,O66+P66-Q66)</f>
        <v/>
      </c>
      <c r="S66" s="42">
        <f>V65</f>
        <v/>
      </c>
      <c r="T66" s="43">
        <f>IF(S66&gt;0,S66*Plan!$D$27/100/12,0)</f>
        <v/>
      </c>
      <c r="U66" s="42">
        <f>IF(S66&lt;=0,0,MIN(S66+T66,Plan!$E$27))</f>
        <v/>
      </c>
      <c r="V66" s="44">
        <f>MAX(0,S66+T66-U66)</f>
        <v/>
      </c>
      <c r="W66" s="42">
        <f>Z65</f>
        <v/>
      </c>
      <c r="X66" s="43">
        <f>IF(W66&gt;0,W66*Plan!$D$28/100/12,0)</f>
        <v/>
      </c>
      <c r="Y66" s="42">
        <f>IF(W66&lt;=0,0,MIN(W66+X66,Plan!$E$28))</f>
        <v/>
      </c>
      <c r="Z66" s="44">
        <f>MAX(0,W66+X66-Y66)</f>
        <v/>
      </c>
      <c r="AA66" s="44">
        <f>F66+J66+N66+R66+V66+Z66</f>
        <v/>
      </c>
    </row>
    <row r="67">
      <c r="A67" s="46" t="n">
        <v>60</v>
      </c>
      <c r="B67" s="47">
        <f>EDATE(Plan!$C$18,59)</f>
        <v/>
      </c>
      <c r="C67" s="48">
        <f>F66</f>
        <v/>
      </c>
      <c r="D67" s="49">
        <f>IF(C67&gt;0,C67*Plan!$D$23/100/12,0)</f>
        <v/>
      </c>
      <c r="E67" s="48">
        <f>IF(C67&lt;=0,0,MIN(C67+D67,Plan!$E$23))</f>
        <v/>
      </c>
      <c r="F67" s="50">
        <f>MAX(0,C67+D67-E67)</f>
        <v/>
      </c>
      <c r="G67" s="48">
        <f>J66</f>
        <v/>
      </c>
      <c r="H67" s="49">
        <f>IF(G67&gt;0,G67*Plan!$D$24/100/12,0)</f>
        <v/>
      </c>
      <c r="I67" s="48">
        <f>IF(G67&lt;=0,0,MIN(G67+H67,Plan!$E$24))</f>
        <v/>
      </c>
      <c r="J67" s="50">
        <f>MAX(0,G67+H67-I67)</f>
        <v/>
      </c>
      <c r="K67" s="48">
        <f>N66</f>
        <v/>
      </c>
      <c r="L67" s="49">
        <f>IF(K67&gt;0,K67*Plan!$D$25/100/12,0)</f>
        <v/>
      </c>
      <c r="M67" s="48">
        <f>IF(K67&lt;=0,0,MIN(K67+L67,Plan!$E$25))</f>
        <v/>
      </c>
      <c r="N67" s="50">
        <f>MAX(0,K67+L67-M67)</f>
        <v/>
      </c>
      <c r="O67" s="48">
        <f>R66</f>
        <v/>
      </c>
      <c r="P67" s="49">
        <f>IF(O67&gt;0,O67*Plan!$D$26/100/12,0)</f>
        <v/>
      </c>
      <c r="Q67" s="48">
        <f>IF(O67&lt;=0,0,MIN(O67+P67,Plan!$E$26))</f>
        <v/>
      </c>
      <c r="R67" s="50">
        <f>MAX(0,O67+P67-Q67)</f>
        <v/>
      </c>
      <c r="S67" s="48">
        <f>V66</f>
        <v/>
      </c>
      <c r="T67" s="49">
        <f>IF(S67&gt;0,S67*Plan!$D$27/100/12,0)</f>
        <v/>
      </c>
      <c r="U67" s="48">
        <f>IF(S67&lt;=0,0,MIN(S67+T67,Plan!$E$27))</f>
        <v/>
      </c>
      <c r="V67" s="50">
        <f>MAX(0,S67+T67-U67)</f>
        <v/>
      </c>
      <c r="W67" s="48">
        <f>Z66</f>
        <v/>
      </c>
      <c r="X67" s="49">
        <f>IF(W67&gt;0,W67*Plan!$D$28/100/12,0)</f>
        <v/>
      </c>
      <c r="Y67" s="48">
        <f>IF(W67&lt;=0,0,MIN(W67+X67,Plan!$E$28))</f>
        <v/>
      </c>
      <c r="Z67" s="50">
        <f>MAX(0,W67+X67-Y67)</f>
        <v/>
      </c>
      <c r="AA67" s="50">
        <f>F67+J67+N67+R67+V67+Z67</f>
        <v/>
      </c>
    </row>
    <row r="68">
      <c r="A68" s="40" t="n">
        <v>61</v>
      </c>
      <c r="B68" s="41">
        <f>EDATE(Plan!$C$18,60)</f>
        <v/>
      </c>
      <c r="C68" s="42">
        <f>F67</f>
        <v/>
      </c>
      <c r="D68" s="43">
        <f>IF(C68&gt;0,C68*Plan!$D$23/100/12,0)</f>
        <v/>
      </c>
      <c r="E68" s="42">
        <f>IF(C68&lt;=0,0,MIN(C68+D68,Plan!$E$23))</f>
        <v/>
      </c>
      <c r="F68" s="44">
        <f>MAX(0,C68+D68-E68)</f>
        <v/>
      </c>
      <c r="G68" s="42">
        <f>J67</f>
        <v/>
      </c>
      <c r="H68" s="43">
        <f>IF(G68&gt;0,G68*Plan!$D$24/100/12,0)</f>
        <v/>
      </c>
      <c r="I68" s="42">
        <f>IF(G68&lt;=0,0,MIN(G68+H68,Plan!$E$24))</f>
        <v/>
      </c>
      <c r="J68" s="44">
        <f>MAX(0,G68+H68-I68)</f>
        <v/>
      </c>
      <c r="K68" s="42">
        <f>N67</f>
        <v/>
      </c>
      <c r="L68" s="43">
        <f>IF(K68&gt;0,K68*Plan!$D$25/100/12,0)</f>
        <v/>
      </c>
      <c r="M68" s="42">
        <f>IF(K68&lt;=0,0,MIN(K68+L68,Plan!$E$25))</f>
        <v/>
      </c>
      <c r="N68" s="44">
        <f>MAX(0,K68+L68-M68)</f>
        <v/>
      </c>
      <c r="O68" s="42">
        <f>R67</f>
        <v/>
      </c>
      <c r="P68" s="43">
        <f>IF(O68&gt;0,O68*Plan!$D$26/100/12,0)</f>
        <v/>
      </c>
      <c r="Q68" s="42">
        <f>IF(O68&lt;=0,0,MIN(O68+P68,Plan!$E$26))</f>
        <v/>
      </c>
      <c r="R68" s="44">
        <f>MAX(0,O68+P68-Q68)</f>
        <v/>
      </c>
      <c r="S68" s="42">
        <f>V67</f>
        <v/>
      </c>
      <c r="T68" s="43">
        <f>IF(S68&gt;0,S68*Plan!$D$27/100/12,0)</f>
        <v/>
      </c>
      <c r="U68" s="42">
        <f>IF(S68&lt;=0,0,MIN(S68+T68,Plan!$E$27))</f>
        <v/>
      </c>
      <c r="V68" s="44">
        <f>MAX(0,S68+T68-U68)</f>
        <v/>
      </c>
      <c r="W68" s="42">
        <f>Z67</f>
        <v/>
      </c>
      <c r="X68" s="43">
        <f>IF(W68&gt;0,W68*Plan!$D$28/100/12,0)</f>
        <v/>
      </c>
      <c r="Y68" s="42">
        <f>IF(W68&lt;=0,0,MIN(W68+X68,Plan!$E$28))</f>
        <v/>
      </c>
      <c r="Z68" s="44">
        <f>MAX(0,W68+X68-Y68)</f>
        <v/>
      </c>
      <c r="AA68" s="44">
        <f>F68+J68+N68+R68+V68+Z68</f>
        <v/>
      </c>
    </row>
    <row r="69">
      <c r="A69" s="46" t="n">
        <v>62</v>
      </c>
      <c r="B69" s="47">
        <f>EDATE(Plan!$C$18,61)</f>
        <v/>
      </c>
      <c r="C69" s="48">
        <f>F68</f>
        <v/>
      </c>
      <c r="D69" s="49">
        <f>IF(C69&gt;0,C69*Plan!$D$23/100/12,0)</f>
        <v/>
      </c>
      <c r="E69" s="48">
        <f>IF(C69&lt;=0,0,MIN(C69+D69,Plan!$E$23))</f>
        <v/>
      </c>
      <c r="F69" s="50">
        <f>MAX(0,C69+D69-E69)</f>
        <v/>
      </c>
      <c r="G69" s="48">
        <f>J68</f>
        <v/>
      </c>
      <c r="H69" s="49">
        <f>IF(G69&gt;0,G69*Plan!$D$24/100/12,0)</f>
        <v/>
      </c>
      <c r="I69" s="48">
        <f>IF(G69&lt;=0,0,MIN(G69+H69,Plan!$E$24))</f>
        <v/>
      </c>
      <c r="J69" s="50">
        <f>MAX(0,G69+H69-I69)</f>
        <v/>
      </c>
      <c r="K69" s="48">
        <f>N68</f>
        <v/>
      </c>
      <c r="L69" s="49">
        <f>IF(K69&gt;0,K69*Plan!$D$25/100/12,0)</f>
        <v/>
      </c>
      <c r="M69" s="48">
        <f>IF(K69&lt;=0,0,MIN(K69+L69,Plan!$E$25))</f>
        <v/>
      </c>
      <c r="N69" s="50">
        <f>MAX(0,K69+L69-M69)</f>
        <v/>
      </c>
      <c r="O69" s="48">
        <f>R68</f>
        <v/>
      </c>
      <c r="P69" s="49">
        <f>IF(O69&gt;0,O69*Plan!$D$26/100/12,0)</f>
        <v/>
      </c>
      <c r="Q69" s="48">
        <f>IF(O69&lt;=0,0,MIN(O69+P69,Plan!$E$26))</f>
        <v/>
      </c>
      <c r="R69" s="50">
        <f>MAX(0,O69+P69-Q69)</f>
        <v/>
      </c>
      <c r="S69" s="48">
        <f>V68</f>
        <v/>
      </c>
      <c r="T69" s="49">
        <f>IF(S69&gt;0,S69*Plan!$D$27/100/12,0)</f>
        <v/>
      </c>
      <c r="U69" s="48">
        <f>IF(S69&lt;=0,0,MIN(S69+T69,Plan!$E$27))</f>
        <v/>
      </c>
      <c r="V69" s="50">
        <f>MAX(0,S69+T69-U69)</f>
        <v/>
      </c>
      <c r="W69" s="48">
        <f>Z68</f>
        <v/>
      </c>
      <c r="X69" s="49">
        <f>IF(W69&gt;0,W69*Plan!$D$28/100/12,0)</f>
        <v/>
      </c>
      <c r="Y69" s="48">
        <f>IF(W69&lt;=0,0,MIN(W69+X69,Plan!$E$28))</f>
        <v/>
      </c>
      <c r="Z69" s="50">
        <f>MAX(0,W69+X69-Y69)</f>
        <v/>
      </c>
      <c r="AA69" s="50">
        <f>F69+J69+N69+R69+V69+Z69</f>
        <v/>
      </c>
    </row>
    <row r="70">
      <c r="A70" s="40" t="n">
        <v>63</v>
      </c>
      <c r="B70" s="41">
        <f>EDATE(Plan!$C$18,62)</f>
        <v/>
      </c>
      <c r="C70" s="42">
        <f>F69</f>
        <v/>
      </c>
      <c r="D70" s="43">
        <f>IF(C70&gt;0,C70*Plan!$D$23/100/12,0)</f>
        <v/>
      </c>
      <c r="E70" s="42">
        <f>IF(C70&lt;=0,0,MIN(C70+D70,Plan!$E$23))</f>
        <v/>
      </c>
      <c r="F70" s="44">
        <f>MAX(0,C70+D70-E70)</f>
        <v/>
      </c>
      <c r="G70" s="42">
        <f>J69</f>
        <v/>
      </c>
      <c r="H70" s="43">
        <f>IF(G70&gt;0,G70*Plan!$D$24/100/12,0)</f>
        <v/>
      </c>
      <c r="I70" s="42">
        <f>IF(G70&lt;=0,0,MIN(G70+H70,Plan!$E$24))</f>
        <v/>
      </c>
      <c r="J70" s="44">
        <f>MAX(0,G70+H70-I70)</f>
        <v/>
      </c>
      <c r="K70" s="42">
        <f>N69</f>
        <v/>
      </c>
      <c r="L70" s="43">
        <f>IF(K70&gt;0,K70*Plan!$D$25/100/12,0)</f>
        <v/>
      </c>
      <c r="M70" s="42">
        <f>IF(K70&lt;=0,0,MIN(K70+L70,Plan!$E$25))</f>
        <v/>
      </c>
      <c r="N70" s="44">
        <f>MAX(0,K70+L70-M70)</f>
        <v/>
      </c>
      <c r="O70" s="42">
        <f>R69</f>
        <v/>
      </c>
      <c r="P70" s="43">
        <f>IF(O70&gt;0,O70*Plan!$D$26/100/12,0)</f>
        <v/>
      </c>
      <c r="Q70" s="42">
        <f>IF(O70&lt;=0,0,MIN(O70+P70,Plan!$E$26))</f>
        <v/>
      </c>
      <c r="R70" s="44">
        <f>MAX(0,O70+P70-Q70)</f>
        <v/>
      </c>
      <c r="S70" s="42">
        <f>V69</f>
        <v/>
      </c>
      <c r="T70" s="43">
        <f>IF(S70&gt;0,S70*Plan!$D$27/100/12,0)</f>
        <v/>
      </c>
      <c r="U70" s="42">
        <f>IF(S70&lt;=0,0,MIN(S70+T70,Plan!$E$27))</f>
        <v/>
      </c>
      <c r="V70" s="44">
        <f>MAX(0,S70+T70-U70)</f>
        <v/>
      </c>
      <c r="W70" s="42">
        <f>Z69</f>
        <v/>
      </c>
      <c r="X70" s="43">
        <f>IF(W70&gt;0,W70*Plan!$D$28/100/12,0)</f>
        <v/>
      </c>
      <c r="Y70" s="42">
        <f>IF(W70&lt;=0,0,MIN(W70+X70,Plan!$E$28))</f>
        <v/>
      </c>
      <c r="Z70" s="44">
        <f>MAX(0,W70+X70-Y70)</f>
        <v/>
      </c>
      <c r="AA70" s="44">
        <f>F70+J70+N70+R70+V70+Z70</f>
        <v/>
      </c>
    </row>
    <row r="71">
      <c r="A71" s="46" t="n">
        <v>64</v>
      </c>
      <c r="B71" s="47">
        <f>EDATE(Plan!$C$18,63)</f>
        <v/>
      </c>
      <c r="C71" s="48">
        <f>F70</f>
        <v/>
      </c>
      <c r="D71" s="49">
        <f>IF(C71&gt;0,C71*Plan!$D$23/100/12,0)</f>
        <v/>
      </c>
      <c r="E71" s="48">
        <f>IF(C71&lt;=0,0,MIN(C71+D71,Plan!$E$23))</f>
        <v/>
      </c>
      <c r="F71" s="50">
        <f>MAX(0,C71+D71-E71)</f>
        <v/>
      </c>
      <c r="G71" s="48">
        <f>J70</f>
        <v/>
      </c>
      <c r="H71" s="49">
        <f>IF(G71&gt;0,G71*Plan!$D$24/100/12,0)</f>
        <v/>
      </c>
      <c r="I71" s="48">
        <f>IF(G71&lt;=0,0,MIN(G71+H71,Plan!$E$24))</f>
        <v/>
      </c>
      <c r="J71" s="50">
        <f>MAX(0,G71+H71-I71)</f>
        <v/>
      </c>
      <c r="K71" s="48">
        <f>N70</f>
        <v/>
      </c>
      <c r="L71" s="49">
        <f>IF(K71&gt;0,K71*Plan!$D$25/100/12,0)</f>
        <v/>
      </c>
      <c r="M71" s="48">
        <f>IF(K71&lt;=0,0,MIN(K71+L71,Plan!$E$25))</f>
        <v/>
      </c>
      <c r="N71" s="50">
        <f>MAX(0,K71+L71-M71)</f>
        <v/>
      </c>
      <c r="O71" s="48">
        <f>R70</f>
        <v/>
      </c>
      <c r="P71" s="49">
        <f>IF(O71&gt;0,O71*Plan!$D$26/100/12,0)</f>
        <v/>
      </c>
      <c r="Q71" s="48">
        <f>IF(O71&lt;=0,0,MIN(O71+P71,Plan!$E$26))</f>
        <v/>
      </c>
      <c r="R71" s="50">
        <f>MAX(0,O71+P71-Q71)</f>
        <v/>
      </c>
      <c r="S71" s="48">
        <f>V70</f>
        <v/>
      </c>
      <c r="T71" s="49">
        <f>IF(S71&gt;0,S71*Plan!$D$27/100/12,0)</f>
        <v/>
      </c>
      <c r="U71" s="48">
        <f>IF(S71&lt;=0,0,MIN(S71+T71,Plan!$E$27))</f>
        <v/>
      </c>
      <c r="V71" s="50">
        <f>MAX(0,S71+T71-U71)</f>
        <v/>
      </c>
      <c r="W71" s="48">
        <f>Z70</f>
        <v/>
      </c>
      <c r="X71" s="49">
        <f>IF(W71&gt;0,W71*Plan!$D$28/100/12,0)</f>
        <v/>
      </c>
      <c r="Y71" s="48">
        <f>IF(W71&lt;=0,0,MIN(W71+X71,Plan!$E$28))</f>
        <v/>
      </c>
      <c r="Z71" s="50">
        <f>MAX(0,W71+X71-Y71)</f>
        <v/>
      </c>
      <c r="AA71" s="50">
        <f>F71+J71+N71+R71+V71+Z71</f>
        <v/>
      </c>
    </row>
    <row r="72">
      <c r="A72" s="40" t="n">
        <v>65</v>
      </c>
      <c r="B72" s="41">
        <f>EDATE(Plan!$C$18,64)</f>
        <v/>
      </c>
      <c r="C72" s="42">
        <f>F71</f>
        <v/>
      </c>
      <c r="D72" s="43">
        <f>IF(C72&gt;0,C72*Plan!$D$23/100/12,0)</f>
        <v/>
      </c>
      <c r="E72" s="42">
        <f>IF(C72&lt;=0,0,MIN(C72+D72,Plan!$E$23))</f>
        <v/>
      </c>
      <c r="F72" s="44">
        <f>MAX(0,C72+D72-E72)</f>
        <v/>
      </c>
      <c r="G72" s="42">
        <f>J71</f>
        <v/>
      </c>
      <c r="H72" s="43">
        <f>IF(G72&gt;0,G72*Plan!$D$24/100/12,0)</f>
        <v/>
      </c>
      <c r="I72" s="42">
        <f>IF(G72&lt;=0,0,MIN(G72+H72,Plan!$E$24))</f>
        <v/>
      </c>
      <c r="J72" s="44">
        <f>MAX(0,G72+H72-I72)</f>
        <v/>
      </c>
      <c r="K72" s="42">
        <f>N71</f>
        <v/>
      </c>
      <c r="L72" s="43">
        <f>IF(K72&gt;0,K72*Plan!$D$25/100/12,0)</f>
        <v/>
      </c>
      <c r="M72" s="42">
        <f>IF(K72&lt;=0,0,MIN(K72+L72,Plan!$E$25))</f>
        <v/>
      </c>
      <c r="N72" s="44">
        <f>MAX(0,K72+L72-M72)</f>
        <v/>
      </c>
      <c r="O72" s="42">
        <f>R71</f>
        <v/>
      </c>
      <c r="P72" s="43">
        <f>IF(O72&gt;0,O72*Plan!$D$26/100/12,0)</f>
        <v/>
      </c>
      <c r="Q72" s="42">
        <f>IF(O72&lt;=0,0,MIN(O72+P72,Plan!$E$26))</f>
        <v/>
      </c>
      <c r="R72" s="44">
        <f>MAX(0,O72+P72-Q72)</f>
        <v/>
      </c>
      <c r="S72" s="42">
        <f>V71</f>
        <v/>
      </c>
      <c r="T72" s="43">
        <f>IF(S72&gt;0,S72*Plan!$D$27/100/12,0)</f>
        <v/>
      </c>
      <c r="U72" s="42">
        <f>IF(S72&lt;=0,0,MIN(S72+T72,Plan!$E$27))</f>
        <v/>
      </c>
      <c r="V72" s="44">
        <f>MAX(0,S72+T72-U72)</f>
        <v/>
      </c>
      <c r="W72" s="42">
        <f>Z71</f>
        <v/>
      </c>
      <c r="X72" s="43">
        <f>IF(W72&gt;0,W72*Plan!$D$28/100/12,0)</f>
        <v/>
      </c>
      <c r="Y72" s="42">
        <f>IF(W72&lt;=0,0,MIN(W72+X72,Plan!$E$28))</f>
        <v/>
      </c>
      <c r="Z72" s="44">
        <f>MAX(0,W72+X72-Y72)</f>
        <v/>
      </c>
      <c r="AA72" s="44">
        <f>F72+J72+N72+R72+V72+Z72</f>
        <v/>
      </c>
    </row>
    <row r="73">
      <c r="A73" s="46" t="n">
        <v>66</v>
      </c>
      <c r="B73" s="47">
        <f>EDATE(Plan!$C$18,65)</f>
        <v/>
      </c>
      <c r="C73" s="48">
        <f>F72</f>
        <v/>
      </c>
      <c r="D73" s="49">
        <f>IF(C73&gt;0,C73*Plan!$D$23/100/12,0)</f>
        <v/>
      </c>
      <c r="E73" s="48">
        <f>IF(C73&lt;=0,0,MIN(C73+D73,Plan!$E$23))</f>
        <v/>
      </c>
      <c r="F73" s="50">
        <f>MAX(0,C73+D73-E73)</f>
        <v/>
      </c>
      <c r="G73" s="48">
        <f>J72</f>
        <v/>
      </c>
      <c r="H73" s="49">
        <f>IF(G73&gt;0,G73*Plan!$D$24/100/12,0)</f>
        <v/>
      </c>
      <c r="I73" s="48">
        <f>IF(G73&lt;=0,0,MIN(G73+H73,Plan!$E$24))</f>
        <v/>
      </c>
      <c r="J73" s="50">
        <f>MAX(0,G73+H73-I73)</f>
        <v/>
      </c>
      <c r="K73" s="48">
        <f>N72</f>
        <v/>
      </c>
      <c r="L73" s="49">
        <f>IF(K73&gt;0,K73*Plan!$D$25/100/12,0)</f>
        <v/>
      </c>
      <c r="M73" s="48">
        <f>IF(K73&lt;=0,0,MIN(K73+L73,Plan!$E$25))</f>
        <v/>
      </c>
      <c r="N73" s="50">
        <f>MAX(0,K73+L73-M73)</f>
        <v/>
      </c>
      <c r="O73" s="48">
        <f>R72</f>
        <v/>
      </c>
      <c r="P73" s="49">
        <f>IF(O73&gt;0,O73*Plan!$D$26/100/12,0)</f>
        <v/>
      </c>
      <c r="Q73" s="48">
        <f>IF(O73&lt;=0,0,MIN(O73+P73,Plan!$E$26))</f>
        <v/>
      </c>
      <c r="R73" s="50">
        <f>MAX(0,O73+P73-Q73)</f>
        <v/>
      </c>
      <c r="S73" s="48">
        <f>V72</f>
        <v/>
      </c>
      <c r="T73" s="49">
        <f>IF(S73&gt;0,S73*Plan!$D$27/100/12,0)</f>
        <v/>
      </c>
      <c r="U73" s="48">
        <f>IF(S73&lt;=0,0,MIN(S73+T73,Plan!$E$27))</f>
        <v/>
      </c>
      <c r="V73" s="50">
        <f>MAX(0,S73+T73-U73)</f>
        <v/>
      </c>
      <c r="W73" s="48">
        <f>Z72</f>
        <v/>
      </c>
      <c r="X73" s="49">
        <f>IF(W73&gt;0,W73*Plan!$D$28/100/12,0)</f>
        <v/>
      </c>
      <c r="Y73" s="48">
        <f>IF(W73&lt;=0,0,MIN(W73+X73,Plan!$E$28))</f>
        <v/>
      </c>
      <c r="Z73" s="50">
        <f>MAX(0,W73+X73-Y73)</f>
        <v/>
      </c>
      <c r="AA73" s="50">
        <f>F73+J73+N73+R73+V73+Z73</f>
        <v/>
      </c>
    </row>
    <row r="74">
      <c r="A74" s="40" t="n">
        <v>67</v>
      </c>
      <c r="B74" s="41">
        <f>EDATE(Plan!$C$18,66)</f>
        <v/>
      </c>
      <c r="C74" s="42">
        <f>F73</f>
        <v/>
      </c>
      <c r="D74" s="43">
        <f>IF(C74&gt;0,C74*Plan!$D$23/100/12,0)</f>
        <v/>
      </c>
      <c r="E74" s="42">
        <f>IF(C74&lt;=0,0,MIN(C74+D74,Plan!$E$23))</f>
        <v/>
      </c>
      <c r="F74" s="44">
        <f>MAX(0,C74+D74-E74)</f>
        <v/>
      </c>
      <c r="G74" s="42">
        <f>J73</f>
        <v/>
      </c>
      <c r="H74" s="43">
        <f>IF(G74&gt;0,G74*Plan!$D$24/100/12,0)</f>
        <v/>
      </c>
      <c r="I74" s="42">
        <f>IF(G74&lt;=0,0,MIN(G74+H74,Plan!$E$24))</f>
        <v/>
      </c>
      <c r="J74" s="44">
        <f>MAX(0,G74+H74-I74)</f>
        <v/>
      </c>
      <c r="K74" s="42">
        <f>N73</f>
        <v/>
      </c>
      <c r="L74" s="43">
        <f>IF(K74&gt;0,K74*Plan!$D$25/100/12,0)</f>
        <v/>
      </c>
      <c r="M74" s="42">
        <f>IF(K74&lt;=0,0,MIN(K74+L74,Plan!$E$25))</f>
        <v/>
      </c>
      <c r="N74" s="44">
        <f>MAX(0,K74+L74-M74)</f>
        <v/>
      </c>
      <c r="O74" s="42">
        <f>R73</f>
        <v/>
      </c>
      <c r="P74" s="43">
        <f>IF(O74&gt;0,O74*Plan!$D$26/100/12,0)</f>
        <v/>
      </c>
      <c r="Q74" s="42">
        <f>IF(O74&lt;=0,0,MIN(O74+P74,Plan!$E$26))</f>
        <v/>
      </c>
      <c r="R74" s="44">
        <f>MAX(0,O74+P74-Q74)</f>
        <v/>
      </c>
      <c r="S74" s="42">
        <f>V73</f>
        <v/>
      </c>
      <c r="T74" s="43">
        <f>IF(S74&gt;0,S74*Plan!$D$27/100/12,0)</f>
        <v/>
      </c>
      <c r="U74" s="42">
        <f>IF(S74&lt;=0,0,MIN(S74+T74,Plan!$E$27))</f>
        <v/>
      </c>
      <c r="V74" s="44">
        <f>MAX(0,S74+T74-U74)</f>
        <v/>
      </c>
      <c r="W74" s="42">
        <f>Z73</f>
        <v/>
      </c>
      <c r="X74" s="43">
        <f>IF(W74&gt;0,W74*Plan!$D$28/100/12,0)</f>
        <v/>
      </c>
      <c r="Y74" s="42">
        <f>IF(W74&lt;=0,0,MIN(W74+X74,Plan!$E$28))</f>
        <v/>
      </c>
      <c r="Z74" s="44">
        <f>MAX(0,W74+X74-Y74)</f>
        <v/>
      </c>
      <c r="AA74" s="44">
        <f>F74+J74+N74+R74+V74+Z74</f>
        <v/>
      </c>
    </row>
    <row r="75">
      <c r="A75" s="46" t="n">
        <v>68</v>
      </c>
      <c r="B75" s="47">
        <f>EDATE(Plan!$C$18,67)</f>
        <v/>
      </c>
      <c r="C75" s="48">
        <f>F74</f>
        <v/>
      </c>
      <c r="D75" s="49">
        <f>IF(C75&gt;0,C75*Plan!$D$23/100/12,0)</f>
        <v/>
      </c>
      <c r="E75" s="48">
        <f>IF(C75&lt;=0,0,MIN(C75+D75,Plan!$E$23))</f>
        <v/>
      </c>
      <c r="F75" s="50">
        <f>MAX(0,C75+D75-E75)</f>
        <v/>
      </c>
      <c r="G75" s="48">
        <f>J74</f>
        <v/>
      </c>
      <c r="H75" s="49">
        <f>IF(G75&gt;0,G75*Plan!$D$24/100/12,0)</f>
        <v/>
      </c>
      <c r="I75" s="48">
        <f>IF(G75&lt;=0,0,MIN(G75+H75,Plan!$E$24))</f>
        <v/>
      </c>
      <c r="J75" s="50">
        <f>MAX(0,G75+H75-I75)</f>
        <v/>
      </c>
      <c r="K75" s="48">
        <f>N74</f>
        <v/>
      </c>
      <c r="L75" s="49">
        <f>IF(K75&gt;0,K75*Plan!$D$25/100/12,0)</f>
        <v/>
      </c>
      <c r="M75" s="48">
        <f>IF(K75&lt;=0,0,MIN(K75+L75,Plan!$E$25))</f>
        <v/>
      </c>
      <c r="N75" s="50">
        <f>MAX(0,K75+L75-M75)</f>
        <v/>
      </c>
      <c r="O75" s="48">
        <f>R74</f>
        <v/>
      </c>
      <c r="P75" s="49">
        <f>IF(O75&gt;0,O75*Plan!$D$26/100/12,0)</f>
        <v/>
      </c>
      <c r="Q75" s="48">
        <f>IF(O75&lt;=0,0,MIN(O75+P75,Plan!$E$26))</f>
        <v/>
      </c>
      <c r="R75" s="50">
        <f>MAX(0,O75+P75-Q75)</f>
        <v/>
      </c>
      <c r="S75" s="48">
        <f>V74</f>
        <v/>
      </c>
      <c r="T75" s="49">
        <f>IF(S75&gt;0,S75*Plan!$D$27/100/12,0)</f>
        <v/>
      </c>
      <c r="U75" s="48">
        <f>IF(S75&lt;=0,0,MIN(S75+T75,Plan!$E$27))</f>
        <v/>
      </c>
      <c r="V75" s="50">
        <f>MAX(0,S75+T75-U75)</f>
        <v/>
      </c>
      <c r="W75" s="48">
        <f>Z74</f>
        <v/>
      </c>
      <c r="X75" s="49">
        <f>IF(W75&gt;0,W75*Plan!$D$28/100/12,0)</f>
        <v/>
      </c>
      <c r="Y75" s="48">
        <f>IF(W75&lt;=0,0,MIN(W75+X75,Plan!$E$28))</f>
        <v/>
      </c>
      <c r="Z75" s="50">
        <f>MAX(0,W75+X75-Y75)</f>
        <v/>
      </c>
      <c r="AA75" s="50">
        <f>F75+J75+N75+R75+V75+Z75</f>
        <v/>
      </c>
    </row>
    <row r="76">
      <c r="A76" s="40" t="n">
        <v>69</v>
      </c>
      <c r="B76" s="41">
        <f>EDATE(Plan!$C$18,68)</f>
        <v/>
      </c>
      <c r="C76" s="42">
        <f>F75</f>
        <v/>
      </c>
      <c r="D76" s="43">
        <f>IF(C76&gt;0,C76*Plan!$D$23/100/12,0)</f>
        <v/>
      </c>
      <c r="E76" s="42">
        <f>IF(C76&lt;=0,0,MIN(C76+D76,Plan!$E$23))</f>
        <v/>
      </c>
      <c r="F76" s="44">
        <f>MAX(0,C76+D76-E76)</f>
        <v/>
      </c>
      <c r="G76" s="42">
        <f>J75</f>
        <v/>
      </c>
      <c r="H76" s="43">
        <f>IF(G76&gt;0,G76*Plan!$D$24/100/12,0)</f>
        <v/>
      </c>
      <c r="I76" s="42">
        <f>IF(G76&lt;=0,0,MIN(G76+H76,Plan!$E$24))</f>
        <v/>
      </c>
      <c r="J76" s="44">
        <f>MAX(0,G76+H76-I76)</f>
        <v/>
      </c>
      <c r="K76" s="42">
        <f>N75</f>
        <v/>
      </c>
      <c r="L76" s="43">
        <f>IF(K76&gt;0,K76*Plan!$D$25/100/12,0)</f>
        <v/>
      </c>
      <c r="M76" s="42">
        <f>IF(K76&lt;=0,0,MIN(K76+L76,Plan!$E$25))</f>
        <v/>
      </c>
      <c r="N76" s="44">
        <f>MAX(0,K76+L76-M76)</f>
        <v/>
      </c>
      <c r="O76" s="42">
        <f>R75</f>
        <v/>
      </c>
      <c r="P76" s="43">
        <f>IF(O76&gt;0,O76*Plan!$D$26/100/12,0)</f>
        <v/>
      </c>
      <c r="Q76" s="42">
        <f>IF(O76&lt;=0,0,MIN(O76+P76,Plan!$E$26))</f>
        <v/>
      </c>
      <c r="R76" s="44">
        <f>MAX(0,O76+P76-Q76)</f>
        <v/>
      </c>
      <c r="S76" s="42">
        <f>V75</f>
        <v/>
      </c>
      <c r="T76" s="43">
        <f>IF(S76&gt;0,S76*Plan!$D$27/100/12,0)</f>
        <v/>
      </c>
      <c r="U76" s="42">
        <f>IF(S76&lt;=0,0,MIN(S76+T76,Plan!$E$27))</f>
        <v/>
      </c>
      <c r="V76" s="44">
        <f>MAX(0,S76+T76-U76)</f>
        <v/>
      </c>
      <c r="W76" s="42">
        <f>Z75</f>
        <v/>
      </c>
      <c r="X76" s="43">
        <f>IF(W76&gt;0,W76*Plan!$D$28/100/12,0)</f>
        <v/>
      </c>
      <c r="Y76" s="42">
        <f>IF(W76&lt;=0,0,MIN(W76+X76,Plan!$E$28))</f>
        <v/>
      </c>
      <c r="Z76" s="44">
        <f>MAX(0,W76+X76-Y76)</f>
        <v/>
      </c>
      <c r="AA76" s="44">
        <f>F76+J76+N76+R76+V76+Z76</f>
        <v/>
      </c>
    </row>
    <row r="77">
      <c r="A77" s="46" t="n">
        <v>70</v>
      </c>
      <c r="B77" s="47">
        <f>EDATE(Plan!$C$18,69)</f>
        <v/>
      </c>
      <c r="C77" s="48">
        <f>F76</f>
        <v/>
      </c>
      <c r="D77" s="49">
        <f>IF(C77&gt;0,C77*Plan!$D$23/100/12,0)</f>
        <v/>
      </c>
      <c r="E77" s="48">
        <f>IF(C77&lt;=0,0,MIN(C77+D77,Plan!$E$23))</f>
        <v/>
      </c>
      <c r="F77" s="50">
        <f>MAX(0,C77+D77-E77)</f>
        <v/>
      </c>
      <c r="G77" s="48">
        <f>J76</f>
        <v/>
      </c>
      <c r="H77" s="49">
        <f>IF(G77&gt;0,G77*Plan!$D$24/100/12,0)</f>
        <v/>
      </c>
      <c r="I77" s="48">
        <f>IF(G77&lt;=0,0,MIN(G77+H77,Plan!$E$24))</f>
        <v/>
      </c>
      <c r="J77" s="50">
        <f>MAX(0,G77+H77-I77)</f>
        <v/>
      </c>
      <c r="K77" s="48">
        <f>N76</f>
        <v/>
      </c>
      <c r="L77" s="49">
        <f>IF(K77&gt;0,K77*Plan!$D$25/100/12,0)</f>
        <v/>
      </c>
      <c r="M77" s="48">
        <f>IF(K77&lt;=0,0,MIN(K77+L77,Plan!$E$25))</f>
        <v/>
      </c>
      <c r="N77" s="50">
        <f>MAX(0,K77+L77-M77)</f>
        <v/>
      </c>
      <c r="O77" s="48">
        <f>R76</f>
        <v/>
      </c>
      <c r="P77" s="49">
        <f>IF(O77&gt;0,O77*Plan!$D$26/100/12,0)</f>
        <v/>
      </c>
      <c r="Q77" s="48">
        <f>IF(O77&lt;=0,0,MIN(O77+P77,Plan!$E$26))</f>
        <v/>
      </c>
      <c r="R77" s="50">
        <f>MAX(0,O77+P77-Q77)</f>
        <v/>
      </c>
      <c r="S77" s="48">
        <f>V76</f>
        <v/>
      </c>
      <c r="T77" s="49">
        <f>IF(S77&gt;0,S77*Plan!$D$27/100/12,0)</f>
        <v/>
      </c>
      <c r="U77" s="48">
        <f>IF(S77&lt;=0,0,MIN(S77+T77,Plan!$E$27))</f>
        <v/>
      </c>
      <c r="V77" s="50">
        <f>MAX(0,S77+T77-U77)</f>
        <v/>
      </c>
      <c r="W77" s="48">
        <f>Z76</f>
        <v/>
      </c>
      <c r="X77" s="49">
        <f>IF(W77&gt;0,W77*Plan!$D$28/100/12,0)</f>
        <v/>
      </c>
      <c r="Y77" s="48">
        <f>IF(W77&lt;=0,0,MIN(W77+X77,Plan!$E$28))</f>
        <v/>
      </c>
      <c r="Z77" s="50">
        <f>MAX(0,W77+X77-Y77)</f>
        <v/>
      </c>
      <c r="AA77" s="50">
        <f>F77+J77+N77+R77+V77+Z77</f>
        <v/>
      </c>
    </row>
    <row r="78">
      <c r="A78" s="40" t="n">
        <v>71</v>
      </c>
      <c r="B78" s="41">
        <f>EDATE(Plan!$C$18,70)</f>
        <v/>
      </c>
      <c r="C78" s="42">
        <f>F77</f>
        <v/>
      </c>
      <c r="D78" s="43">
        <f>IF(C78&gt;0,C78*Plan!$D$23/100/12,0)</f>
        <v/>
      </c>
      <c r="E78" s="42">
        <f>IF(C78&lt;=0,0,MIN(C78+D78,Plan!$E$23))</f>
        <v/>
      </c>
      <c r="F78" s="44">
        <f>MAX(0,C78+D78-E78)</f>
        <v/>
      </c>
      <c r="G78" s="42">
        <f>J77</f>
        <v/>
      </c>
      <c r="H78" s="43">
        <f>IF(G78&gt;0,G78*Plan!$D$24/100/12,0)</f>
        <v/>
      </c>
      <c r="I78" s="42">
        <f>IF(G78&lt;=0,0,MIN(G78+H78,Plan!$E$24))</f>
        <v/>
      </c>
      <c r="J78" s="44">
        <f>MAX(0,G78+H78-I78)</f>
        <v/>
      </c>
      <c r="K78" s="42">
        <f>N77</f>
        <v/>
      </c>
      <c r="L78" s="43">
        <f>IF(K78&gt;0,K78*Plan!$D$25/100/12,0)</f>
        <v/>
      </c>
      <c r="M78" s="42">
        <f>IF(K78&lt;=0,0,MIN(K78+L78,Plan!$E$25))</f>
        <v/>
      </c>
      <c r="N78" s="44">
        <f>MAX(0,K78+L78-M78)</f>
        <v/>
      </c>
      <c r="O78" s="42">
        <f>R77</f>
        <v/>
      </c>
      <c r="P78" s="43">
        <f>IF(O78&gt;0,O78*Plan!$D$26/100/12,0)</f>
        <v/>
      </c>
      <c r="Q78" s="42">
        <f>IF(O78&lt;=0,0,MIN(O78+P78,Plan!$E$26))</f>
        <v/>
      </c>
      <c r="R78" s="44">
        <f>MAX(0,O78+P78-Q78)</f>
        <v/>
      </c>
      <c r="S78" s="42">
        <f>V77</f>
        <v/>
      </c>
      <c r="T78" s="43">
        <f>IF(S78&gt;0,S78*Plan!$D$27/100/12,0)</f>
        <v/>
      </c>
      <c r="U78" s="42">
        <f>IF(S78&lt;=0,0,MIN(S78+T78,Plan!$E$27))</f>
        <v/>
      </c>
      <c r="V78" s="44">
        <f>MAX(0,S78+T78-U78)</f>
        <v/>
      </c>
      <c r="W78" s="42">
        <f>Z77</f>
        <v/>
      </c>
      <c r="X78" s="43">
        <f>IF(W78&gt;0,W78*Plan!$D$28/100/12,0)</f>
        <v/>
      </c>
      <c r="Y78" s="42">
        <f>IF(W78&lt;=0,0,MIN(W78+X78,Plan!$E$28))</f>
        <v/>
      </c>
      <c r="Z78" s="44">
        <f>MAX(0,W78+X78-Y78)</f>
        <v/>
      </c>
      <c r="AA78" s="44">
        <f>F78+J78+N78+R78+V78+Z78</f>
        <v/>
      </c>
    </row>
    <row r="79">
      <c r="A79" s="46" t="n">
        <v>72</v>
      </c>
      <c r="B79" s="47">
        <f>EDATE(Plan!$C$18,71)</f>
        <v/>
      </c>
      <c r="C79" s="48">
        <f>F78</f>
        <v/>
      </c>
      <c r="D79" s="49">
        <f>IF(C79&gt;0,C79*Plan!$D$23/100/12,0)</f>
        <v/>
      </c>
      <c r="E79" s="48">
        <f>IF(C79&lt;=0,0,MIN(C79+D79,Plan!$E$23))</f>
        <v/>
      </c>
      <c r="F79" s="50">
        <f>MAX(0,C79+D79-E79)</f>
        <v/>
      </c>
      <c r="G79" s="48">
        <f>J78</f>
        <v/>
      </c>
      <c r="H79" s="49">
        <f>IF(G79&gt;0,G79*Plan!$D$24/100/12,0)</f>
        <v/>
      </c>
      <c r="I79" s="48">
        <f>IF(G79&lt;=0,0,MIN(G79+H79,Plan!$E$24))</f>
        <v/>
      </c>
      <c r="J79" s="50">
        <f>MAX(0,G79+H79-I79)</f>
        <v/>
      </c>
      <c r="K79" s="48">
        <f>N78</f>
        <v/>
      </c>
      <c r="L79" s="49">
        <f>IF(K79&gt;0,K79*Plan!$D$25/100/12,0)</f>
        <v/>
      </c>
      <c r="M79" s="48">
        <f>IF(K79&lt;=0,0,MIN(K79+L79,Plan!$E$25))</f>
        <v/>
      </c>
      <c r="N79" s="50">
        <f>MAX(0,K79+L79-M79)</f>
        <v/>
      </c>
      <c r="O79" s="48">
        <f>R78</f>
        <v/>
      </c>
      <c r="P79" s="49">
        <f>IF(O79&gt;0,O79*Plan!$D$26/100/12,0)</f>
        <v/>
      </c>
      <c r="Q79" s="48">
        <f>IF(O79&lt;=0,0,MIN(O79+P79,Plan!$E$26))</f>
        <v/>
      </c>
      <c r="R79" s="50">
        <f>MAX(0,O79+P79-Q79)</f>
        <v/>
      </c>
      <c r="S79" s="48">
        <f>V78</f>
        <v/>
      </c>
      <c r="T79" s="49">
        <f>IF(S79&gt;0,S79*Plan!$D$27/100/12,0)</f>
        <v/>
      </c>
      <c r="U79" s="48">
        <f>IF(S79&lt;=0,0,MIN(S79+T79,Plan!$E$27))</f>
        <v/>
      </c>
      <c r="V79" s="50">
        <f>MAX(0,S79+T79-U79)</f>
        <v/>
      </c>
      <c r="W79" s="48">
        <f>Z78</f>
        <v/>
      </c>
      <c r="X79" s="49">
        <f>IF(W79&gt;0,W79*Plan!$D$28/100/12,0)</f>
        <v/>
      </c>
      <c r="Y79" s="48">
        <f>IF(W79&lt;=0,0,MIN(W79+X79,Plan!$E$28))</f>
        <v/>
      </c>
      <c r="Z79" s="50">
        <f>MAX(0,W79+X79-Y79)</f>
        <v/>
      </c>
      <c r="AA79" s="50">
        <f>F79+J79+N79+R79+V79+Z79</f>
        <v/>
      </c>
    </row>
    <row r="80">
      <c r="A80" s="40" t="n">
        <v>73</v>
      </c>
      <c r="B80" s="41">
        <f>EDATE(Plan!$C$18,72)</f>
        <v/>
      </c>
      <c r="C80" s="42">
        <f>F79</f>
        <v/>
      </c>
      <c r="D80" s="43">
        <f>IF(C80&gt;0,C80*Plan!$D$23/100/12,0)</f>
        <v/>
      </c>
      <c r="E80" s="42">
        <f>IF(C80&lt;=0,0,MIN(C80+D80,Plan!$E$23))</f>
        <v/>
      </c>
      <c r="F80" s="44">
        <f>MAX(0,C80+D80-E80)</f>
        <v/>
      </c>
      <c r="G80" s="42">
        <f>J79</f>
        <v/>
      </c>
      <c r="H80" s="43">
        <f>IF(G80&gt;0,G80*Plan!$D$24/100/12,0)</f>
        <v/>
      </c>
      <c r="I80" s="42">
        <f>IF(G80&lt;=0,0,MIN(G80+H80,Plan!$E$24))</f>
        <v/>
      </c>
      <c r="J80" s="44">
        <f>MAX(0,G80+H80-I80)</f>
        <v/>
      </c>
      <c r="K80" s="42">
        <f>N79</f>
        <v/>
      </c>
      <c r="L80" s="43">
        <f>IF(K80&gt;0,K80*Plan!$D$25/100/12,0)</f>
        <v/>
      </c>
      <c r="M80" s="42">
        <f>IF(K80&lt;=0,0,MIN(K80+L80,Plan!$E$25))</f>
        <v/>
      </c>
      <c r="N80" s="44">
        <f>MAX(0,K80+L80-M80)</f>
        <v/>
      </c>
      <c r="O80" s="42">
        <f>R79</f>
        <v/>
      </c>
      <c r="P80" s="43">
        <f>IF(O80&gt;0,O80*Plan!$D$26/100/12,0)</f>
        <v/>
      </c>
      <c r="Q80" s="42">
        <f>IF(O80&lt;=0,0,MIN(O80+P80,Plan!$E$26))</f>
        <v/>
      </c>
      <c r="R80" s="44">
        <f>MAX(0,O80+P80-Q80)</f>
        <v/>
      </c>
      <c r="S80" s="42">
        <f>V79</f>
        <v/>
      </c>
      <c r="T80" s="43">
        <f>IF(S80&gt;0,S80*Plan!$D$27/100/12,0)</f>
        <v/>
      </c>
      <c r="U80" s="42">
        <f>IF(S80&lt;=0,0,MIN(S80+T80,Plan!$E$27))</f>
        <v/>
      </c>
      <c r="V80" s="44">
        <f>MAX(0,S80+T80-U80)</f>
        <v/>
      </c>
      <c r="W80" s="42">
        <f>Z79</f>
        <v/>
      </c>
      <c r="X80" s="43">
        <f>IF(W80&gt;0,W80*Plan!$D$28/100/12,0)</f>
        <v/>
      </c>
      <c r="Y80" s="42">
        <f>IF(W80&lt;=0,0,MIN(W80+X80,Plan!$E$28))</f>
        <v/>
      </c>
      <c r="Z80" s="44">
        <f>MAX(0,W80+X80-Y80)</f>
        <v/>
      </c>
      <c r="AA80" s="44">
        <f>F80+J80+N80+R80+V80+Z80</f>
        <v/>
      </c>
    </row>
    <row r="81">
      <c r="A81" s="46" t="n">
        <v>74</v>
      </c>
      <c r="B81" s="47">
        <f>EDATE(Plan!$C$18,73)</f>
        <v/>
      </c>
      <c r="C81" s="48">
        <f>F80</f>
        <v/>
      </c>
      <c r="D81" s="49">
        <f>IF(C81&gt;0,C81*Plan!$D$23/100/12,0)</f>
        <v/>
      </c>
      <c r="E81" s="48">
        <f>IF(C81&lt;=0,0,MIN(C81+D81,Plan!$E$23))</f>
        <v/>
      </c>
      <c r="F81" s="50">
        <f>MAX(0,C81+D81-E81)</f>
        <v/>
      </c>
      <c r="G81" s="48">
        <f>J80</f>
        <v/>
      </c>
      <c r="H81" s="49">
        <f>IF(G81&gt;0,G81*Plan!$D$24/100/12,0)</f>
        <v/>
      </c>
      <c r="I81" s="48">
        <f>IF(G81&lt;=0,0,MIN(G81+H81,Plan!$E$24))</f>
        <v/>
      </c>
      <c r="J81" s="50">
        <f>MAX(0,G81+H81-I81)</f>
        <v/>
      </c>
      <c r="K81" s="48">
        <f>N80</f>
        <v/>
      </c>
      <c r="L81" s="49">
        <f>IF(K81&gt;0,K81*Plan!$D$25/100/12,0)</f>
        <v/>
      </c>
      <c r="M81" s="48">
        <f>IF(K81&lt;=0,0,MIN(K81+L81,Plan!$E$25))</f>
        <v/>
      </c>
      <c r="N81" s="50">
        <f>MAX(0,K81+L81-M81)</f>
        <v/>
      </c>
      <c r="O81" s="48">
        <f>R80</f>
        <v/>
      </c>
      <c r="P81" s="49">
        <f>IF(O81&gt;0,O81*Plan!$D$26/100/12,0)</f>
        <v/>
      </c>
      <c r="Q81" s="48">
        <f>IF(O81&lt;=0,0,MIN(O81+P81,Plan!$E$26))</f>
        <v/>
      </c>
      <c r="R81" s="50">
        <f>MAX(0,O81+P81-Q81)</f>
        <v/>
      </c>
      <c r="S81" s="48">
        <f>V80</f>
        <v/>
      </c>
      <c r="T81" s="49">
        <f>IF(S81&gt;0,S81*Plan!$D$27/100/12,0)</f>
        <v/>
      </c>
      <c r="U81" s="48">
        <f>IF(S81&lt;=0,0,MIN(S81+T81,Plan!$E$27))</f>
        <v/>
      </c>
      <c r="V81" s="50">
        <f>MAX(0,S81+T81-U81)</f>
        <v/>
      </c>
      <c r="W81" s="48">
        <f>Z80</f>
        <v/>
      </c>
      <c r="X81" s="49">
        <f>IF(W81&gt;0,W81*Plan!$D$28/100/12,0)</f>
        <v/>
      </c>
      <c r="Y81" s="48">
        <f>IF(W81&lt;=0,0,MIN(W81+X81,Plan!$E$28))</f>
        <v/>
      </c>
      <c r="Z81" s="50">
        <f>MAX(0,W81+X81-Y81)</f>
        <v/>
      </c>
      <c r="AA81" s="50">
        <f>F81+J81+N81+R81+V81+Z81</f>
        <v/>
      </c>
    </row>
    <row r="82">
      <c r="A82" s="40" t="n">
        <v>75</v>
      </c>
      <c r="B82" s="41">
        <f>EDATE(Plan!$C$18,74)</f>
        <v/>
      </c>
      <c r="C82" s="42">
        <f>F81</f>
        <v/>
      </c>
      <c r="D82" s="43">
        <f>IF(C82&gt;0,C82*Plan!$D$23/100/12,0)</f>
        <v/>
      </c>
      <c r="E82" s="42">
        <f>IF(C82&lt;=0,0,MIN(C82+D82,Plan!$E$23))</f>
        <v/>
      </c>
      <c r="F82" s="44">
        <f>MAX(0,C82+D82-E82)</f>
        <v/>
      </c>
      <c r="G82" s="42">
        <f>J81</f>
        <v/>
      </c>
      <c r="H82" s="43">
        <f>IF(G82&gt;0,G82*Plan!$D$24/100/12,0)</f>
        <v/>
      </c>
      <c r="I82" s="42">
        <f>IF(G82&lt;=0,0,MIN(G82+H82,Plan!$E$24))</f>
        <v/>
      </c>
      <c r="J82" s="44">
        <f>MAX(0,G82+H82-I82)</f>
        <v/>
      </c>
      <c r="K82" s="42">
        <f>N81</f>
        <v/>
      </c>
      <c r="L82" s="43">
        <f>IF(K82&gt;0,K82*Plan!$D$25/100/12,0)</f>
        <v/>
      </c>
      <c r="M82" s="42">
        <f>IF(K82&lt;=0,0,MIN(K82+L82,Plan!$E$25))</f>
        <v/>
      </c>
      <c r="N82" s="44">
        <f>MAX(0,K82+L82-M82)</f>
        <v/>
      </c>
      <c r="O82" s="42">
        <f>R81</f>
        <v/>
      </c>
      <c r="P82" s="43">
        <f>IF(O82&gt;0,O82*Plan!$D$26/100/12,0)</f>
        <v/>
      </c>
      <c r="Q82" s="42">
        <f>IF(O82&lt;=0,0,MIN(O82+P82,Plan!$E$26))</f>
        <v/>
      </c>
      <c r="R82" s="44">
        <f>MAX(0,O82+P82-Q82)</f>
        <v/>
      </c>
      <c r="S82" s="42">
        <f>V81</f>
        <v/>
      </c>
      <c r="T82" s="43">
        <f>IF(S82&gt;0,S82*Plan!$D$27/100/12,0)</f>
        <v/>
      </c>
      <c r="U82" s="42">
        <f>IF(S82&lt;=0,0,MIN(S82+T82,Plan!$E$27))</f>
        <v/>
      </c>
      <c r="V82" s="44">
        <f>MAX(0,S82+T82-U82)</f>
        <v/>
      </c>
      <c r="W82" s="42">
        <f>Z81</f>
        <v/>
      </c>
      <c r="X82" s="43">
        <f>IF(W82&gt;0,W82*Plan!$D$28/100/12,0)</f>
        <v/>
      </c>
      <c r="Y82" s="42">
        <f>IF(W82&lt;=0,0,MIN(W82+X82,Plan!$E$28))</f>
        <v/>
      </c>
      <c r="Z82" s="44">
        <f>MAX(0,W82+X82-Y82)</f>
        <v/>
      </c>
      <c r="AA82" s="44">
        <f>F82+J82+N82+R82+V82+Z82</f>
        <v/>
      </c>
    </row>
    <row r="83">
      <c r="A83" s="46" t="n">
        <v>76</v>
      </c>
      <c r="B83" s="47">
        <f>EDATE(Plan!$C$18,75)</f>
        <v/>
      </c>
      <c r="C83" s="48">
        <f>F82</f>
        <v/>
      </c>
      <c r="D83" s="49">
        <f>IF(C83&gt;0,C83*Plan!$D$23/100/12,0)</f>
        <v/>
      </c>
      <c r="E83" s="48">
        <f>IF(C83&lt;=0,0,MIN(C83+D83,Plan!$E$23))</f>
        <v/>
      </c>
      <c r="F83" s="50">
        <f>MAX(0,C83+D83-E83)</f>
        <v/>
      </c>
      <c r="G83" s="48">
        <f>J82</f>
        <v/>
      </c>
      <c r="H83" s="49">
        <f>IF(G83&gt;0,G83*Plan!$D$24/100/12,0)</f>
        <v/>
      </c>
      <c r="I83" s="48">
        <f>IF(G83&lt;=0,0,MIN(G83+H83,Plan!$E$24))</f>
        <v/>
      </c>
      <c r="J83" s="50">
        <f>MAX(0,G83+H83-I83)</f>
        <v/>
      </c>
      <c r="K83" s="48">
        <f>N82</f>
        <v/>
      </c>
      <c r="L83" s="49">
        <f>IF(K83&gt;0,K83*Plan!$D$25/100/12,0)</f>
        <v/>
      </c>
      <c r="M83" s="48">
        <f>IF(K83&lt;=0,0,MIN(K83+L83,Plan!$E$25))</f>
        <v/>
      </c>
      <c r="N83" s="50">
        <f>MAX(0,K83+L83-M83)</f>
        <v/>
      </c>
      <c r="O83" s="48">
        <f>R82</f>
        <v/>
      </c>
      <c r="P83" s="49">
        <f>IF(O83&gt;0,O83*Plan!$D$26/100/12,0)</f>
        <v/>
      </c>
      <c r="Q83" s="48">
        <f>IF(O83&lt;=0,0,MIN(O83+P83,Plan!$E$26))</f>
        <v/>
      </c>
      <c r="R83" s="50">
        <f>MAX(0,O83+P83-Q83)</f>
        <v/>
      </c>
      <c r="S83" s="48">
        <f>V82</f>
        <v/>
      </c>
      <c r="T83" s="49">
        <f>IF(S83&gt;0,S83*Plan!$D$27/100/12,0)</f>
        <v/>
      </c>
      <c r="U83" s="48">
        <f>IF(S83&lt;=0,0,MIN(S83+T83,Plan!$E$27))</f>
        <v/>
      </c>
      <c r="V83" s="50">
        <f>MAX(0,S83+T83-U83)</f>
        <v/>
      </c>
      <c r="W83" s="48">
        <f>Z82</f>
        <v/>
      </c>
      <c r="X83" s="49">
        <f>IF(W83&gt;0,W83*Plan!$D$28/100/12,0)</f>
        <v/>
      </c>
      <c r="Y83" s="48">
        <f>IF(W83&lt;=0,0,MIN(W83+X83,Plan!$E$28))</f>
        <v/>
      </c>
      <c r="Z83" s="50">
        <f>MAX(0,W83+X83-Y83)</f>
        <v/>
      </c>
      <c r="AA83" s="50">
        <f>F83+J83+N83+R83+V83+Z83</f>
        <v/>
      </c>
    </row>
    <row r="84">
      <c r="A84" s="40" t="n">
        <v>77</v>
      </c>
      <c r="B84" s="41">
        <f>EDATE(Plan!$C$18,76)</f>
        <v/>
      </c>
      <c r="C84" s="42">
        <f>F83</f>
        <v/>
      </c>
      <c r="D84" s="43">
        <f>IF(C84&gt;0,C84*Plan!$D$23/100/12,0)</f>
        <v/>
      </c>
      <c r="E84" s="42">
        <f>IF(C84&lt;=0,0,MIN(C84+D84,Plan!$E$23))</f>
        <v/>
      </c>
      <c r="F84" s="44">
        <f>MAX(0,C84+D84-E84)</f>
        <v/>
      </c>
      <c r="G84" s="42">
        <f>J83</f>
        <v/>
      </c>
      <c r="H84" s="43">
        <f>IF(G84&gt;0,G84*Plan!$D$24/100/12,0)</f>
        <v/>
      </c>
      <c r="I84" s="42">
        <f>IF(G84&lt;=0,0,MIN(G84+H84,Plan!$E$24))</f>
        <v/>
      </c>
      <c r="J84" s="44">
        <f>MAX(0,G84+H84-I84)</f>
        <v/>
      </c>
      <c r="K84" s="42">
        <f>N83</f>
        <v/>
      </c>
      <c r="L84" s="43">
        <f>IF(K84&gt;0,K84*Plan!$D$25/100/12,0)</f>
        <v/>
      </c>
      <c r="M84" s="42">
        <f>IF(K84&lt;=0,0,MIN(K84+L84,Plan!$E$25))</f>
        <v/>
      </c>
      <c r="N84" s="44">
        <f>MAX(0,K84+L84-M84)</f>
        <v/>
      </c>
      <c r="O84" s="42">
        <f>R83</f>
        <v/>
      </c>
      <c r="P84" s="43">
        <f>IF(O84&gt;0,O84*Plan!$D$26/100/12,0)</f>
        <v/>
      </c>
      <c r="Q84" s="42">
        <f>IF(O84&lt;=0,0,MIN(O84+P84,Plan!$E$26))</f>
        <v/>
      </c>
      <c r="R84" s="44">
        <f>MAX(0,O84+P84-Q84)</f>
        <v/>
      </c>
      <c r="S84" s="42">
        <f>V83</f>
        <v/>
      </c>
      <c r="T84" s="43">
        <f>IF(S84&gt;0,S84*Plan!$D$27/100/12,0)</f>
        <v/>
      </c>
      <c r="U84" s="42">
        <f>IF(S84&lt;=0,0,MIN(S84+T84,Plan!$E$27))</f>
        <v/>
      </c>
      <c r="V84" s="44">
        <f>MAX(0,S84+T84-U84)</f>
        <v/>
      </c>
      <c r="W84" s="42">
        <f>Z83</f>
        <v/>
      </c>
      <c r="X84" s="43">
        <f>IF(W84&gt;0,W84*Plan!$D$28/100/12,0)</f>
        <v/>
      </c>
      <c r="Y84" s="42">
        <f>IF(W84&lt;=0,0,MIN(W84+X84,Plan!$E$28))</f>
        <v/>
      </c>
      <c r="Z84" s="44">
        <f>MAX(0,W84+X84-Y84)</f>
        <v/>
      </c>
      <c r="AA84" s="44">
        <f>F84+J84+N84+R84+V84+Z84</f>
        <v/>
      </c>
    </row>
    <row r="85">
      <c r="A85" s="46" t="n">
        <v>78</v>
      </c>
      <c r="B85" s="47">
        <f>EDATE(Plan!$C$18,77)</f>
        <v/>
      </c>
      <c r="C85" s="48">
        <f>F84</f>
        <v/>
      </c>
      <c r="D85" s="49">
        <f>IF(C85&gt;0,C85*Plan!$D$23/100/12,0)</f>
        <v/>
      </c>
      <c r="E85" s="48">
        <f>IF(C85&lt;=0,0,MIN(C85+D85,Plan!$E$23))</f>
        <v/>
      </c>
      <c r="F85" s="50">
        <f>MAX(0,C85+D85-E85)</f>
        <v/>
      </c>
      <c r="G85" s="48">
        <f>J84</f>
        <v/>
      </c>
      <c r="H85" s="49">
        <f>IF(G85&gt;0,G85*Plan!$D$24/100/12,0)</f>
        <v/>
      </c>
      <c r="I85" s="48">
        <f>IF(G85&lt;=0,0,MIN(G85+H85,Plan!$E$24))</f>
        <v/>
      </c>
      <c r="J85" s="50">
        <f>MAX(0,G85+H85-I85)</f>
        <v/>
      </c>
      <c r="K85" s="48">
        <f>N84</f>
        <v/>
      </c>
      <c r="L85" s="49">
        <f>IF(K85&gt;0,K85*Plan!$D$25/100/12,0)</f>
        <v/>
      </c>
      <c r="M85" s="48">
        <f>IF(K85&lt;=0,0,MIN(K85+L85,Plan!$E$25))</f>
        <v/>
      </c>
      <c r="N85" s="50">
        <f>MAX(0,K85+L85-M85)</f>
        <v/>
      </c>
      <c r="O85" s="48">
        <f>R84</f>
        <v/>
      </c>
      <c r="P85" s="49">
        <f>IF(O85&gt;0,O85*Plan!$D$26/100/12,0)</f>
        <v/>
      </c>
      <c r="Q85" s="48">
        <f>IF(O85&lt;=0,0,MIN(O85+P85,Plan!$E$26))</f>
        <v/>
      </c>
      <c r="R85" s="50">
        <f>MAX(0,O85+P85-Q85)</f>
        <v/>
      </c>
      <c r="S85" s="48">
        <f>V84</f>
        <v/>
      </c>
      <c r="T85" s="49">
        <f>IF(S85&gt;0,S85*Plan!$D$27/100/12,0)</f>
        <v/>
      </c>
      <c r="U85" s="48">
        <f>IF(S85&lt;=0,0,MIN(S85+T85,Plan!$E$27))</f>
        <v/>
      </c>
      <c r="V85" s="50">
        <f>MAX(0,S85+T85-U85)</f>
        <v/>
      </c>
      <c r="W85" s="48">
        <f>Z84</f>
        <v/>
      </c>
      <c r="X85" s="49">
        <f>IF(W85&gt;0,W85*Plan!$D$28/100/12,0)</f>
        <v/>
      </c>
      <c r="Y85" s="48">
        <f>IF(W85&lt;=0,0,MIN(W85+X85,Plan!$E$28))</f>
        <v/>
      </c>
      <c r="Z85" s="50">
        <f>MAX(0,W85+X85-Y85)</f>
        <v/>
      </c>
      <c r="AA85" s="50">
        <f>F85+J85+N85+R85+V85+Z85</f>
        <v/>
      </c>
    </row>
    <row r="86">
      <c r="A86" s="40" t="n">
        <v>79</v>
      </c>
      <c r="B86" s="41">
        <f>EDATE(Plan!$C$18,78)</f>
        <v/>
      </c>
      <c r="C86" s="42">
        <f>F85</f>
        <v/>
      </c>
      <c r="D86" s="43">
        <f>IF(C86&gt;0,C86*Plan!$D$23/100/12,0)</f>
        <v/>
      </c>
      <c r="E86" s="42">
        <f>IF(C86&lt;=0,0,MIN(C86+D86,Plan!$E$23))</f>
        <v/>
      </c>
      <c r="F86" s="44">
        <f>MAX(0,C86+D86-E86)</f>
        <v/>
      </c>
      <c r="G86" s="42">
        <f>J85</f>
        <v/>
      </c>
      <c r="H86" s="43">
        <f>IF(G86&gt;0,G86*Plan!$D$24/100/12,0)</f>
        <v/>
      </c>
      <c r="I86" s="42">
        <f>IF(G86&lt;=0,0,MIN(G86+H86,Plan!$E$24))</f>
        <v/>
      </c>
      <c r="J86" s="44">
        <f>MAX(0,G86+H86-I86)</f>
        <v/>
      </c>
      <c r="K86" s="42">
        <f>N85</f>
        <v/>
      </c>
      <c r="L86" s="43">
        <f>IF(K86&gt;0,K86*Plan!$D$25/100/12,0)</f>
        <v/>
      </c>
      <c r="M86" s="42">
        <f>IF(K86&lt;=0,0,MIN(K86+L86,Plan!$E$25))</f>
        <v/>
      </c>
      <c r="N86" s="44">
        <f>MAX(0,K86+L86-M86)</f>
        <v/>
      </c>
      <c r="O86" s="42">
        <f>R85</f>
        <v/>
      </c>
      <c r="P86" s="43">
        <f>IF(O86&gt;0,O86*Plan!$D$26/100/12,0)</f>
        <v/>
      </c>
      <c r="Q86" s="42">
        <f>IF(O86&lt;=0,0,MIN(O86+P86,Plan!$E$26))</f>
        <v/>
      </c>
      <c r="R86" s="44">
        <f>MAX(0,O86+P86-Q86)</f>
        <v/>
      </c>
      <c r="S86" s="42">
        <f>V85</f>
        <v/>
      </c>
      <c r="T86" s="43">
        <f>IF(S86&gt;0,S86*Plan!$D$27/100/12,0)</f>
        <v/>
      </c>
      <c r="U86" s="42">
        <f>IF(S86&lt;=0,0,MIN(S86+T86,Plan!$E$27))</f>
        <v/>
      </c>
      <c r="V86" s="44">
        <f>MAX(0,S86+T86-U86)</f>
        <v/>
      </c>
      <c r="W86" s="42">
        <f>Z85</f>
        <v/>
      </c>
      <c r="X86" s="43">
        <f>IF(W86&gt;0,W86*Plan!$D$28/100/12,0)</f>
        <v/>
      </c>
      <c r="Y86" s="42">
        <f>IF(W86&lt;=0,0,MIN(W86+X86,Plan!$E$28))</f>
        <v/>
      </c>
      <c r="Z86" s="44">
        <f>MAX(0,W86+X86-Y86)</f>
        <v/>
      </c>
      <c r="AA86" s="44">
        <f>F86+J86+N86+R86+V86+Z86</f>
        <v/>
      </c>
    </row>
    <row r="87">
      <c r="A87" s="46" t="n">
        <v>80</v>
      </c>
      <c r="B87" s="47">
        <f>EDATE(Plan!$C$18,79)</f>
        <v/>
      </c>
      <c r="C87" s="48">
        <f>F86</f>
        <v/>
      </c>
      <c r="D87" s="49">
        <f>IF(C87&gt;0,C87*Plan!$D$23/100/12,0)</f>
        <v/>
      </c>
      <c r="E87" s="48">
        <f>IF(C87&lt;=0,0,MIN(C87+D87,Plan!$E$23))</f>
        <v/>
      </c>
      <c r="F87" s="50">
        <f>MAX(0,C87+D87-E87)</f>
        <v/>
      </c>
      <c r="G87" s="48">
        <f>J86</f>
        <v/>
      </c>
      <c r="H87" s="49">
        <f>IF(G87&gt;0,G87*Plan!$D$24/100/12,0)</f>
        <v/>
      </c>
      <c r="I87" s="48">
        <f>IF(G87&lt;=0,0,MIN(G87+H87,Plan!$E$24))</f>
        <v/>
      </c>
      <c r="J87" s="50">
        <f>MAX(0,G87+H87-I87)</f>
        <v/>
      </c>
      <c r="K87" s="48">
        <f>N86</f>
        <v/>
      </c>
      <c r="L87" s="49">
        <f>IF(K87&gt;0,K87*Plan!$D$25/100/12,0)</f>
        <v/>
      </c>
      <c r="M87" s="48">
        <f>IF(K87&lt;=0,0,MIN(K87+L87,Plan!$E$25))</f>
        <v/>
      </c>
      <c r="N87" s="50">
        <f>MAX(0,K87+L87-M87)</f>
        <v/>
      </c>
      <c r="O87" s="48">
        <f>R86</f>
        <v/>
      </c>
      <c r="P87" s="49">
        <f>IF(O87&gt;0,O87*Plan!$D$26/100/12,0)</f>
        <v/>
      </c>
      <c r="Q87" s="48">
        <f>IF(O87&lt;=0,0,MIN(O87+P87,Plan!$E$26))</f>
        <v/>
      </c>
      <c r="R87" s="50">
        <f>MAX(0,O87+P87-Q87)</f>
        <v/>
      </c>
      <c r="S87" s="48">
        <f>V86</f>
        <v/>
      </c>
      <c r="T87" s="49">
        <f>IF(S87&gt;0,S87*Plan!$D$27/100/12,0)</f>
        <v/>
      </c>
      <c r="U87" s="48">
        <f>IF(S87&lt;=0,0,MIN(S87+T87,Plan!$E$27))</f>
        <v/>
      </c>
      <c r="V87" s="50">
        <f>MAX(0,S87+T87-U87)</f>
        <v/>
      </c>
      <c r="W87" s="48">
        <f>Z86</f>
        <v/>
      </c>
      <c r="X87" s="49">
        <f>IF(W87&gt;0,W87*Plan!$D$28/100/12,0)</f>
        <v/>
      </c>
      <c r="Y87" s="48">
        <f>IF(W87&lt;=0,0,MIN(W87+X87,Plan!$E$28))</f>
        <v/>
      </c>
      <c r="Z87" s="50">
        <f>MAX(0,W87+X87-Y87)</f>
        <v/>
      </c>
      <c r="AA87" s="50">
        <f>F87+J87+N87+R87+V87+Z87</f>
        <v/>
      </c>
    </row>
    <row r="88">
      <c r="A88" s="40" t="n">
        <v>81</v>
      </c>
      <c r="B88" s="41">
        <f>EDATE(Plan!$C$18,80)</f>
        <v/>
      </c>
      <c r="C88" s="42">
        <f>F87</f>
        <v/>
      </c>
      <c r="D88" s="43">
        <f>IF(C88&gt;0,C88*Plan!$D$23/100/12,0)</f>
        <v/>
      </c>
      <c r="E88" s="42">
        <f>IF(C88&lt;=0,0,MIN(C88+D88,Plan!$E$23))</f>
        <v/>
      </c>
      <c r="F88" s="44">
        <f>MAX(0,C88+D88-E88)</f>
        <v/>
      </c>
      <c r="G88" s="42">
        <f>J87</f>
        <v/>
      </c>
      <c r="H88" s="43">
        <f>IF(G88&gt;0,G88*Plan!$D$24/100/12,0)</f>
        <v/>
      </c>
      <c r="I88" s="42">
        <f>IF(G88&lt;=0,0,MIN(G88+H88,Plan!$E$24))</f>
        <v/>
      </c>
      <c r="J88" s="44">
        <f>MAX(0,G88+H88-I88)</f>
        <v/>
      </c>
      <c r="K88" s="42">
        <f>N87</f>
        <v/>
      </c>
      <c r="L88" s="43">
        <f>IF(K88&gt;0,K88*Plan!$D$25/100/12,0)</f>
        <v/>
      </c>
      <c r="M88" s="42">
        <f>IF(K88&lt;=0,0,MIN(K88+L88,Plan!$E$25))</f>
        <v/>
      </c>
      <c r="N88" s="44">
        <f>MAX(0,K88+L88-M88)</f>
        <v/>
      </c>
      <c r="O88" s="42">
        <f>R87</f>
        <v/>
      </c>
      <c r="P88" s="43">
        <f>IF(O88&gt;0,O88*Plan!$D$26/100/12,0)</f>
        <v/>
      </c>
      <c r="Q88" s="42">
        <f>IF(O88&lt;=0,0,MIN(O88+P88,Plan!$E$26))</f>
        <v/>
      </c>
      <c r="R88" s="44">
        <f>MAX(0,O88+P88-Q88)</f>
        <v/>
      </c>
      <c r="S88" s="42">
        <f>V87</f>
        <v/>
      </c>
      <c r="T88" s="43">
        <f>IF(S88&gt;0,S88*Plan!$D$27/100/12,0)</f>
        <v/>
      </c>
      <c r="U88" s="42">
        <f>IF(S88&lt;=0,0,MIN(S88+T88,Plan!$E$27))</f>
        <v/>
      </c>
      <c r="V88" s="44">
        <f>MAX(0,S88+T88-U88)</f>
        <v/>
      </c>
      <c r="W88" s="42">
        <f>Z87</f>
        <v/>
      </c>
      <c r="X88" s="43">
        <f>IF(W88&gt;0,W88*Plan!$D$28/100/12,0)</f>
        <v/>
      </c>
      <c r="Y88" s="42">
        <f>IF(W88&lt;=0,0,MIN(W88+X88,Plan!$E$28))</f>
        <v/>
      </c>
      <c r="Z88" s="44">
        <f>MAX(0,W88+X88-Y88)</f>
        <v/>
      </c>
      <c r="AA88" s="44">
        <f>F88+J88+N88+R88+V88+Z88</f>
        <v/>
      </c>
    </row>
    <row r="89">
      <c r="A89" s="46" t="n">
        <v>82</v>
      </c>
      <c r="B89" s="47">
        <f>EDATE(Plan!$C$18,81)</f>
        <v/>
      </c>
      <c r="C89" s="48">
        <f>F88</f>
        <v/>
      </c>
      <c r="D89" s="49">
        <f>IF(C89&gt;0,C89*Plan!$D$23/100/12,0)</f>
        <v/>
      </c>
      <c r="E89" s="48">
        <f>IF(C89&lt;=0,0,MIN(C89+D89,Plan!$E$23))</f>
        <v/>
      </c>
      <c r="F89" s="50">
        <f>MAX(0,C89+D89-E89)</f>
        <v/>
      </c>
      <c r="G89" s="48">
        <f>J88</f>
        <v/>
      </c>
      <c r="H89" s="49">
        <f>IF(G89&gt;0,G89*Plan!$D$24/100/12,0)</f>
        <v/>
      </c>
      <c r="I89" s="48">
        <f>IF(G89&lt;=0,0,MIN(G89+H89,Plan!$E$24))</f>
        <v/>
      </c>
      <c r="J89" s="50">
        <f>MAX(0,G89+H89-I89)</f>
        <v/>
      </c>
      <c r="K89" s="48">
        <f>N88</f>
        <v/>
      </c>
      <c r="L89" s="49">
        <f>IF(K89&gt;0,K89*Plan!$D$25/100/12,0)</f>
        <v/>
      </c>
      <c r="M89" s="48">
        <f>IF(K89&lt;=0,0,MIN(K89+L89,Plan!$E$25))</f>
        <v/>
      </c>
      <c r="N89" s="50">
        <f>MAX(0,K89+L89-M89)</f>
        <v/>
      </c>
      <c r="O89" s="48">
        <f>R88</f>
        <v/>
      </c>
      <c r="P89" s="49">
        <f>IF(O89&gt;0,O89*Plan!$D$26/100/12,0)</f>
        <v/>
      </c>
      <c r="Q89" s="48">
        <f>IF(O89&lt;=0,0,MIN(O89+P89,Plan!$E$26))</f>
        <v/>
      </c>
      <c r="R89" s="50">
        <f>MAX(0,O89+P89-Q89)</f>
        <v/>
      </c>
      <c r="S89" s="48">
        <f>V88</f>
        <v/>
      </c>
      <c r="T89" s="49">
        <f>IF(S89&gt;0,S89*Plan!$D$27/100/12,0)</f>
        <v/>
      </c>
      <c r="U89" s="48">
        <f>IF(S89&lt;=0,0,MIN(S89+T89,Plan!$E$27))</f>
        <v/>
      </c>
      <c r="V89" s="50">
        <f>MAX(0,S89+T89-U89)</f>
        <v/>
      </c>
      <c r="W89" s="48">
        <f>Z88</f>
        <v/>
      </c>
      <c r="X89" s="49">
        <f>IF(W89&gt;0,W89*Plan!$D$28/100/12,0)</f>
        <v/>
      </c>
      <c r="Y89" s="48">
        <f>IF(W89&lt;=0,0,MIN(W89+X89,Plan!$E$28))</f>
        <v/>
      </c>
      <c r="Z89" s="50">
        <f>MAX(0,W89+X89-Y89)</f>
        <v/>
      </c>
      <c r="AA89" s="50">
        <f>F89+J89+N89+R89+V89+Z89</f>
        <v/>
      </c>
    </row>
    <row r="90">
      <c r="A90" s="40" t="n">
        <v>83</v>
      </c>
      <c r="B90" s="41">
        <f>EDATE(Plan!$C$18,82)</f>
        <v/>
      </c>
      <c r="C90" s="42">
        <f>F89</f>
        <v/>
      </c>
      <c r="D90" s="43">
        <f>IF(C90&gt;0,C90*Plan!$D$23/100/12,0)</f>
        <v/>
      </c>
      <c r="E90" s="42">
        <f>IF(C90&lt;=0,0,MIN(C90+D90,Plan!$E$23))</f>
        <v/>
      </c>
      <c r="F90" s="44">
        <f>MAX(0,C90+D90-E90)</f>
        <v/>
      </c>
      <c r="G90" s="42">
        <f>J89</f>
        <v/>
      </c>
      <c r="H90" s="43">
        <f>IF(G90&gt;0,G90*Plan!$D$24/100/12,0)</f>
        <v/>
      </c>
      <c r="I90" s="42">
        <f>IF(G90&lt;=0,0,MIN(G90+H90,Plan!$E$24))</f>
        <v/>
      </c>
      <c r="J90" s="44">
        <f>MAX(0,G90+H90-I90)</f>
        <v/>
      </c>
      <c r="K90" s="42">
        <f>N89</f>
        <v/>
      </c>
      <c r="L90" s="43">
        <f>IF(K90&gt;0,K90*Plan!$D$25/100/12,0)</f>
        <v/>
      </c>
      <c r="M90" s="42">
        <f>IF(K90&lt;=0,0,MIN(K90+L90,Plan!$E$25))</f>
        <v/>
      </c>
      <c r="N90" s="44">
        <f>MAX(0,K90+L90-M90)</f>
        <v/>
      </c>
      <c r="O90" s="42">
        <f>R89</f>
        <v/>
      </c>
      <c r="P90" s="43">
        <f>IF(O90&gt;0,O90*Plan!$D$26/100/12,0)</f>
        <v/>
      </c>
      <c r="Q90" s="42">
        <f>IF(O90&lt;=0,0,MIN(O90+P90,Plan!$E$26))</f>
        <v/>
      </c>
      <c r="R90" s="44">
        <f>MAX(0,O90+P90-Q90)</f>
        <v/>
      </c>
      <c r="S90" s="42">
        <f>V89</f>
        <v/>
      </c>
      <c r="T90" s="43">
        <f>IF(S90&gt;0,S90*Plan!$D$27/100/12,0)</f>
        <v/>
      </c>
      <c r="U90" s="42">
        <f>IF(S90&lt;=0,0,MIN(S90+T90,Plan!$E$27))</f>
        <v/>
      </c>
      <c r="V90" s="44">
        <f>MAX(0,S90+T90-U90)</f>
        <v/>
      </c>
      <c r="W90" s="42">
        <f>Z89</f>
        <v/>
      </c>
      <c r="X90" s="43">
        <f>IF(W90&gt;0,W90*Plan!$D$28/100/12,0)</f>
        <v/>
      </c>
      <c r="Y90" s="42">
        <f>IF(W90&lt;=0,0,MIN(W90+X90,Plan!$E$28))</f>
        <v/>
      </c>
      <c r="Z90" s="44">
        <f>MAX(0,W90+X90-Y90)</f>
        <v/>
      </c>
      <c r="AA90" s="44">
        <f>F90+J90+N90+R90+V90+Z90</f>
        <v/>
      </c>
    </row>
    <row r="91">
      <c r="A91" s="46" t="n">
        <v>84</v>
      </c>
      <c r="B91" s="47">
        <f>EDATE(Plan!$C$18,83)</f>
        <v/>
      </c>
      <c r="C91" s="48">
        <f>F90</f>
        <v/>
      </c>
      <c r="D91" s="49">
        <f>IF(C91&gt;0,C91*Plan!$D$23/100/12,0)</f>
        <v/>
      </c>
      <c r="E91" s="48">
        <f>IF(C91&lt;=0,0,MIN(C91+D91,Plan!$E$23))</f>
        <v/>
      </c>
      <c r="F91" s="50">
        <f>MAX(0,C91+D91-E91)</f>
        <v/>
      </c>
      <c r="G91" s="48">
        <f>J90</f>
        <v/>
      </c>
      <c r="H91" s="49">
        <f>IF(G91&gt;0,G91*Plan!$D$24/100/12,0)</f>
        <v/>
      </c>
      <c r="I91" s="48">
        <f>IF(G91&lt;=0,0,MIN(G91+H91,Plan!$E$24))</f>
        <v/>
      </c>
      <c r="J91" s="50">
        <f>MAX(0,G91+H91-I91)</f>
        <v/>
      </c>
      <c r="K91" s="48">
        <f>N90</f>
        <v/>
      </c>
      <c r="L91" s="49">
        <f>IF(K91&gt;0,K91*Plan!$D$25/100/12,0)</f>
        <v/>
      </c>
      <c r="M91" s="48">
        <f>IF(K91&lt;=0,0,MIN(K91+L91,Plan!$E$25))</f>
        <v/>
      </c>
      <c r="N91" s="50">
        <f>MAX(0,K91+L91-M91)</f>
        <v/>
      </c>
      <c r="O91" s="48">
        <f>R90</f>
        <v/>
      </c>
      <c r="P91" s="49">
        <f>IF(O91&gt;0,O91*Plan!$D$26/100/12,0)</f>
        <v/>
      </c>
      <c r="Q91" s="48">
        <f>IF(O91&lt;=0,0,MIN(O91+P91,Plan!$E$26))</f>
        <v/>
      </c>
      <c r="R91" s="50">
        <f>MAX(0,O91+P91-Q91)</f>
        <v/>
      </c>
      <c r="S91" s="48">
        <f>V90</f>
        <v/>
      </c>
      <c r="T91" s="49">
        <f>IF(S91&gt;0,S91*Plan!$D$27/100/12,0)</f>
        <v/>
      </c>
      <c r="U91" s="48">
        <f>IF(S91&lt;=0,0,MIN(S91+T91,Plan!$E$27))</f>
        <v/>
      </c>
      <c r="V91" s="50">
        <f>MAX(0,S91+T91-U91)</f>
        <v/>
      </c>
      <c r="W91" s="48">
        <f>Z90</f>
        <v/>
      </c>
      <c r="X91" s="49">
        <f>IF(W91&gt;0,W91*Plan!$D$28/100/12,0)</f>
        <v/>
      </c>
      <c r="Y91" s="48">
        <f>IF(W91&lt;=0,0,MIN(W91+X91,Plan!$E$28))</f>
        <v/>
      </c>
      <c r="Z91" s="50">
        <f>MAX(0,W91+X91-Y91)</f>
        <v/>
      </c>
      <c r="AA91" s="50">
        <f>F91+J91+N91+R91+V91+Z91</f>
        <v/>
      </c>
    </row>
    <row r="92">
      <c r="A92" s="40" t="n">
        <v>85</v>
      </c>
      <c r="B92" s="41">
        <f>EDATE(Plan!$C$18,84)</f>
        <v/>
      </c>
      <c r="C92" s="42">
        <f>F91</f>
        <v/>
      </c>
      <c r="D92" s="43">
        <f>IF(C92&gt;0,C92*Plan!$D$23/100/12,0)</f>
        <v/>
      </c>
      <c r="E92" s="42">
        <f>IF(C92&lt;=0,0,MIN(C92+D92,Plan!$E$23))</f>
        <v/>
      </c>
      <c r="F92" s="44">
        <f>MAX(0,C92+D92-E92)</f>
        <v/>
      </c>
      <c r="G92" s="42">
        <f>J91</f>
        <v/>
      </c>
      <c r="H92" s="43">
        <f>IF(G92&gt;0,G92*Plan!$D$24/100/12,0)</f>
        <v/>
      </c>
      <c r="I92" s="42">
        <f>IF(G92&lt;=0,0,MIN(G92+H92,Plan!$E$24))</f>
        <v/>
      </c>
      <c r="J92" s="44">
        <f>MAX(0,G92+H92-I92)</f>
        <v/>
      </c>
      <c r="K92" s="42">
        <f>N91</f>
        <v/>
      </c>
      <c r="L92" s="43">
        <f>IF(K92&gt;0,K92*Plan!$D$25/100/12,0)</f>
        <v/>
      </c>
      <c r="M92" s="42">
        <f>IF(K92&lt;=0,0,MIN(K92+L92,Plan!$E$25))</f>
        <v/>
      </c>
      <c r="N92" s="44">
        <f>MAX(0,K92+L92-M92)</f>
        <v/>
      </c>
      <c r="O92" s="42">
        <f>R91</f>
        <v/>
      </c>
      <c r="P92" s="43">
        <f>IF(O92&gt;0,O92*Plan!$D$26/100/12,0)</f>
        <v/>
      </c>
      <c r="Q92" s="42">
        <f>IF(O92&lt;=0,0,MIN(O92+P92,Plan!$E$26))</f>
        <v/>
      </c>
      <c r="R92" s="44">
        <f>MAX(0,O92+P92-Q92)</f>
        <v/>
      </c>
      <c r="S92" s="42">
        <f>V91</f>
        <v/>
      </c>
      <c r="T92" s="43">
        <f>IF(S92&gt;0,S92*Plan!$D$27/100/12,0)</f>
        <v/>
      </c>
      <c r="U92" s="42">
        <f>IF(S92&lt;=0,0,MIN(S92+T92,Plan!$E$27))</f>
        <v/>
      </c>
      <c r="V92" s="44">
        <f>MAX(0,S92+T92-U92)</f>
        <v/>
      </c>
      <c r="W92" s="42">
        <f>Z91</f>
        <v/>
      </c>
      <c r="X92" s="43">
        <f>IF(W92&gt;0,W92*Plan!$D$28/100/12,0)</f>
        <v/>
      </c>
      <c r="Y92" s="42">
        <f>IF(W92&lt;=0,0,MIN(W92+X92,Plan!$E$28))</f>
        <v/>
      </c>
      <c r="Z92" s="44">
        <f>MAX(0,W92+X92-Y92)</f>
        <v/>
      </c>
      <c r="AA92" s="44">
        <f>F92+J92+N92+R92+V92+Z92</f>
        <v/>
      </c>
    </row>
    <row r="93">
      <c r="A93" s="46" t="n">
        <v>86</v>
      </c>
      <c r="B93" s="47">
        <f>EDATE(Plan!$C$18,85)</f>
        <v/>
      </c>
      <c r="C93" s="48">
        <f>F92</f>
        <v/>
      </c>
      <c r="D93" s="49">
        <f>IF(C93&gt;0,C93*Plan!$D$23/100/12,0)</f>
        <v/>
      </c>
      <c r="E93" s="48">
        <f>IF(C93&lt;=0,0,MIN(C93+D93,Plan!$E$23))</f>
        <v/>
      </c>
      <c r="F93" s="50">
        <f>MAX(0,C93+D93-E93)</f>
        <v/>
      </c>
      <c r="G93" s="48">
        <f>J92</f>
        <v/>
      </c>
      <c r="H93" s="49">
        <f>IF(G93&gt;0,G93*Plan!$D$24/100/12,0)</f>
        <v/>
      </c>
      <c r="I93" s="48">
        <f>IF(G93&lt;=0,0,MIN(G93+H93,Plan!$E$24))</f>
        <v/>
      </c>
      <c r="J93" s="50">
        <f>MAX(0,G93+H93-I93)</f>
        <v/>
      </c>
      <c r="K93" s="48">
        <f>N92</f>
        <v/>
      </c>
      <c r="L93" s="49">
        <f>IF(K93&gt;0,K93*Plan!$D$25/100/12,0)</f>
        <v/>
      </c>
      <c r="M93" s="48">
        <f>IF(K93&lt;=0,0,MIN(K93+L93,Plan!$E$25))</f>
        <v/>
      </c>
      <c r="N93" s="50">
        <f>MAX(0,K93+L93-M93)</f>
        <v/>
      </c>
      <c r="O93" s="48">
        <f>R92</f>
        <v/>
      </c>
      <c r="P93" s="49">
        <f>IF(O93&gt;0,O93*Plan!$D$26/100/12,0)</f>
        <v/>
      </c>
      <c r="Q93" s="48">
        <f>IF(O93&lt;=0,0,MIN(O93+P93,Plan!$E$26))</f>
        <v/>
      </c>
      <c r="R93" s="50">
        <f>MAX(0,O93+P93-Q93)</f>
        <v/>
      </c>
      <c r="S93" s="48">
        <f>V92</f>
        <v/>
      </c>
      <c r="T93" s="49">
        <f>IF(S93&gt;0,S93*Plan!$D$27/100/12,0)</f>
        <v/>
      </c>
      <c r="U93" s="48">
        <f>IF(S93&lt;=0,0,MIN(S93+T93,Plan!$E$27))</f>
        <v/>
      </c>
      <c r="V93" s="50">
        <f>MAX(0,S93+T93-U93)</f>
        <v/>
      </c>
      <c r="W93" s="48">
        <f>Z92</f>
        <v/>
      </c>
      <c r="X93" s="49">
        <f>IF(W93&gt;0,W93*Plan!$D$28/100/12,0)</f>
        <v/>
      </c>
      <c r="Y93" s="48">
        <f>IF(W93&lt;=0,0,MIN(W93+X93,Plan!$E$28))</f>
        <v/>
      </c>
      <c r="Z93" s="50">
        <f>MAX(0,W93+X93-Y93)</f>
        <v/>
      </c>
      <c r="AA93" s="50">
        <f>F93+J93+N93+R93+V93+Z93</f>
        <v/>
      </c>
    </row>
    <row r="94">
      <c r="A94" s="40" t="n">
        <v>87</v>
      </c>
      <c r="B94" s="41">
        <f>EDATE(Plan!$C$18,86)</f>
        <v/>
      </c>
      <c r="C94" s="42">
        <f>F93</f>
        <v/>
      </c>
      <c r="D94" s="43">
        <f>IF(C94&gt;0,C94*Plan!$D$23/100/12,0)</f>
        <v/>
      </c>
      <c r="E94" s="42">
        <f>IF(C94&lt;=0,0,MIN(C94+D94,Plan!$E$23))</f>
        <v/>
      </c>
      <c r="F94" s="44">
        <f>MAX(0,C94+D94-E94)</f>
        <v/>
      </c>
      <c r="G94" s="42">
        <f>J93</f>
        <v/>
      </c>
      <c r="H94" s="43">
        <f>IF(G94&gt;0,G94*Plan!$D$24/100/12,0)</f>
        <v/>
      </c>
      <c r="I94" s="42">
        <f>IF(G94&lt;=0,0,MIN(G94+H94,Plan!$E$24))</f>
        <v/>
      </c>
      <c r="J94" s="44">
        <f>MAX(0,G94+H94-I94)</f>
        <v/>
      </c>
      <c r="K94" s="42">
        <f>N93</f>
        <v/>
      </c>
      <c r="L94" s="43">
        <f>IF(K94&gt;0,K94*Plan!$D$25/100/12,0)</f>
        <v/>
      </c>
      <c r="M94" s="42">
        <f>IF(K94&lt;=0,0,MIN(K94+L94,Plan!$E$25))</f>
        <v/>
      </c>
      <c r="N94" s="44">
        <f>MAX(0,K94+L94-M94)</f>
        <v/>
      </c>
      <c r="O94" s="42">
        <f>R93</f>
        <v/>
      </c>
      <c r="P94" s="43">
        <f>IF(O94&gt;0,O94*Plan!$D$26/100/12,0)</f>
        <v/>
      </c>
      <c r="Q94" s="42">
        <f>IF(O94&lt;=0,0,MIN(O94+P94,Plan!$E$26))</f>
        <v/>
      </c>
      <c r="R94" s="44">
        <f>MAX(0,O94+P94-Q94)</f>
        <v/>
      </c>
      <c r="S94" s="42">
        <f>V93</f>
        <v/>
      </c>
      <c r="T94" s="43">
        <f>IF(S94&gt;0,S94*Plan!$D$27/100/12,0)</f>
        <v/>
      </c>
      <c r="U94" s="42">
        <f>IF(S94&lt;=0,0,MIN(S94+T94,Plan!$E$27))</f>
        <v/>
      </c>
      <c r="V94" s="44">
        <f>MAX(0,S94+T94-U94)</f>
        <v/>
      </c>
      <c r="W94" s="42">
        <f>Z93</f>
        <v/>
      </c>
      <c r="X94" s="43">
        <f>IF(W94&gt;0,W94*Plan!$D$28/100/12,0)</f>
        <v/>
      </c>
      <c r="Y94" s="42">
        <f>IF(W94&lt;=0,0,MIN(W94+X94,Plan!$E$28))</f>
        <v/>
      </c>
      <c r="Z94" s="44">
        <f>MAX(0,W94+X94-Y94)</f>
        <v/>
      </c>
      <c r="AA94" s="44">
        <f>F94+J94+N94+R94+V94+Z94</f>
        <v/>
      </c>
    </row>
    <row r="95">
      <c r="A95" s="46" t="n">
        <v>88</v>
      </c>
      <c r="B95" s="47">
        <f>EDATE(Plan!$C$18,87)</f>
        <v/>
      </c>
      <c r="C95" s="48">
        <f>F94</f>
        <v/>
      </c>
      <c r="D95" s="49">
        <f>IF(C95&gt;0,C95*Plan!$D$23/100/12,0)</f>
        <v/>
      </c>
      <c r="E95" s="48">
        <f>IF(C95&lt;=0,0,MIN(C95+D95,Plan!$E$23))</f>
        <v/>
      </c>
      <c r="F95" s="50">
        <f>MAX(0,C95+D95-E95)</f>
        <v/>
      </c>
      <c r="G95" s="48">
        <f>J94</f>
        <v/>
      </c>
      <c r="H95" s="49">
        <f>IF(G95&gt;0,G95*Plan!$D$24/100/12,0)</f>
        <v/>
      </c>
      <c r="I95" s="48">
        <f>IF(G95&lt;=0,0,MIN(G95+H95,Plan!$E$24))</f>
        <v/>
      </c>
      <c r="J95" s="50">
        <f>MAX(0,G95+H95-I95)</f>
        <v/>
      </c>
      <c r="K95" s="48">
        <f>N94</f>
        <v/>
      </c>
      <c r="L95" s="49">
        <f>IF(K95&gt;0,K95*Plan!$D$25/100/12,0)</f>
        <v/>
      </c>
      <c r="M95" s="48">
        <f>IF(K95&lt;=0,0,MIN(K95+L95,Plan!$E$25))</f>
        <v/>
      </c>
      <c r="N95" s="50">
        <f>MAX(0,K95+L95-M95)</f>
        <v/>
      </c>
      <c r="O95" s="48">
        <f>R94</f>
        <v/>
      </c>
      <c r="P95" s="49">
        <f>IF(O95&gt;0,O95*Plan!$D$26/100/12,0)</f>
        <v/>
      </c>
      <c r="Q95" s="48">
        <f>IF(O95&lt;=0,0,MIN(O95+P95,Plan!$E$26))</f>
        <v/>
      </c>
      <c r="R95" s="50">
        <f>MAX(0,O95+P95-Q95)</f>
        <v/>
      </c>
      <c r="S95" s="48">
        <f>V94</f>
        <v/>
      </c>
      <c r="T95" s="49">
        <f>IF(S95&gt;0,S95*Plan!$D$27/100/12,0)</f>
        <v/>
      </c>
      <c r="U95" s="48">
        <f>IF(S95&lt;=0,0,MIN(S95+T95,Plan!$E$27))</f>
        <v/>
      </c>
      <c r="V95" s="50">
        <f>MAX(0,S95+T95-U95)</f>
        <v/>
      </c>
      <c r="W95" s="48">
        <f>Z94</f>
        <v/>
      </c>
      <c r="X95" s="49">
        <f>IF(W95&gt;0,W95*Plan!$D$28/100/12,0)</f>
        <v/>
      </c>
      <c r="Y95" s="48">
        <f>IF(W95&lt;=0,0,MIN(W95+X95,Plan!$E$28))</f>
        <v/>
      </c>
      <c r="Z95" s="50">
        <f>MAX(0,W95+X95-Y95)</f>
        <v/>
      </c>
      <c r="AA95" s="50">
        <f>F95+J95+N95+R95+V95+Z95</f>
        <v/>
      </c>
    </row>
    <row r="96">
      <c r="A96" s="40" t="n">
        <v>89</v>
      </c>
      <c r="B96" s="41">
        <f>EDATE(Plan!$C$18,88)</f>
        <v/>
      </c>
      <c r="C96" s="42">
        <f>F95</f>
        <v/>
      </c>
      <c r="D96" s="43">
        <f>IF(C96&gt;0,C96*Plan!$D$23/100/12,0)</f>
        <v/>
      </c>
      <c r="E96" s="42">
        <f>IF(C96&lt;=0,0,MIN(C96+D96,Plan!$E$23))</f>
        <v/>
      </c>
      <c r="F96" s="44">
        <f>MAX(0,C96+D96-E96)</f>
        <v/>
      </c>
      <c r="G96" s="42">
        <f>J95</f>
        <v/>
      </c>
      <c r="H96" s="43">
        <f>IF(G96&gt;0,G96*Plan!$D$24/100/12,0)</f>
        <v/>
      </c>
      <c r="I96" s="42">
        <f>IF(G96&lt;=0,0,MIN(G96+H96,Plan!$E$24))</f>
        <v/>
      </c>
      <c r="J96" s="44">
        <f>MAX(0,G96+H96-I96)</f>
        <v/>
      </c>
      <c r="K96" s="42">
        <f>N95</f>
        <v/>
      </c>
      <c r="L96" s="43">
        <f>IF(K96&gt;0,K96*Plan!$D$25/100/12,0)</f>
        <v/>
      </c>
      <c r="M96" s="42">
        <f>IF(K96&lt;=0,0,MIN(K96+L96,Plan!$E$25))</f>
        <v/>
      </c>
      <c r="N96" s="44">
        <f>MAX(0,K96+L96-M96)</f>
        <v/>
      </c>
      <c r="O96" s="42">
        <f>R95</f>
        <v/>
      </c>
      <c r="P96" s="43">
        <f>IF(O96&gt;0,O96*Plan!$D$26/100/12,0)</f>
        <v/>
      </c>
      <c r="Q96" s="42">
        <f>IF(O96&lt;=0,0,MIN(O96+P96,Plan!$E$26))</f>
        <v/>
      </c>
      <c r="R96" s="44">
        <f>MAX(0,O96+P96-Q96)</f>
        <v/>
      </c>
      <c r="S96" s="42">
        <f>V95</f>
        <v/>
      </c>
      <c r="T96" s="43">
        <f>IF(S96&gt;0,S96*Plan!$D$27/100/12,0)</f>
        <v/>
      </c>
      <c r="U96" s="42">
        <f>IF(S96&lt;=0,0,MIN(S96+T96,Plan!$E$27))</f>
        <v/>
      </c>
      <c r="V96" s="44">
        <f>MAX(0,S96+T96-U96)</f>
        <v/>
      </c>
      <c r="W96" s="42">
        <f>Z95</f>
        <v/>
      </c>
      <c r="X96" s="43">
        <f>IF(W96&gt;0,W96*Plan!$D$28/100/12,0)</f>
        <v/>
      </c>
      <c r="Y96" s="42">
        <f>IF(W96&lt;=0,0,MIN(W96+X96,Plan!$E$28))</f>
        <v/>
      </c>
      <c r="Z96" s="44">
        <f>MAX(0,W96+X96-Y96)</f>
        <v/>
      </c>
      <c r="AA96" s="44">
        <f>F96+J96+N96+R96+V96+Z96</f>
        <v/>
      </c>
    </row>
    <row r="97">
      <c r="A97" s="46" t="n">
        <v>90</v>
      </c>
      <c r="B97" s="47">
        <f>EDATE(Plan!$C$18,89)</f>
        <v/>
      </c>
      <c r="C97" s="48">
        <f>F96</f>
        <v/>
      </c>
      <c r="D97" s="49">
        <f>IF(C97&gt;0,C97*Plan!$D$23/100/12,0)</f>
        <v/>
      </c>
      <c r="E97" s="48">
        <f>IF(C97&lt;=0,0,MIN(C97+D97,Plan!$E$23))</f>
        <v/>
      </c>
      <c r="F97" s="50">
        <f>MAX(0,C97+D97-E97)</f>
        <v/>
      </c>
      <c r="G97" s="48">
        <f>J96</f>
        <v/>
      </c>
      <c r="H97" s="49">
        <f>IF(G97&gt;0,G97*Plan!$D$24/100/12,0)</f>
        <v/>
      </c>
      <c r="I97" s="48">
        <f>IF(G97&lt;=0,0,MIN(G97+H97,Plan!$E$24))</f>
        <v/>
      </c>
      <c r="J97" s="50">
        <f>MAX(0,G97+H97-I97)</f>
        <v/>
      </c>
      <c r="K97" s="48">
        <f>N96</f>
        <v/>
      </c>
      <c r="L97" s="49">
        <f>IF(K97&gt;0,K97*Plan!$D$25/100/12,0)</f>
        <v/>
      </c>
      <c r="M97" s="48">
        <f>IF(K97&lt;=0,0,MIN(K97+L97,Plan!$E$25))</f>
        <v/>
      </c>
      <c r="N97" s="50">
        <f>MAX(0,K97+L97-M97)</f>
        <v/>
      </c>
      <c r="O97" s="48">
        <f>R96</f>
        <v/>
      </c>
      <c r="P97" s="49">
        <f>IF(O97&gt;0,O97*Plan!$D$26/100/12,0)</f>
        <v/>
      </c>
      <c r="Q97" s="48">
        <f>IF(O97&lt;=0,0,MIN(O97+P97,Plan!$E$26))</f>
        <v/>
      </c>
      <c r="R97" s="50">
        <f>MAX(0,O97+P97-Q97)</f>
        <v/>
      </c>
      <c r="S97" s="48">
        <f>V96</f>
        <v/>
      </c>
      <c r="T97" s="49">
        <f>IF(S97&gt;0,S97*Plan!$D$27/100/12,0)</f>
        <v/>
      </c>
      <c r="U97" s="48">
        <f>IF(S97&lt;=0,0,MIN(S97+T97,Plan!$E$27))</f>
        <v/>
      </c>
      <c r="V97" s="50">
        <f>MAX(0,S97+T97-U97)</f>
        <v/>
      </c>
      <c r="W97" s="48">
        <f>Z96</f>
        <v/>
      </c>
      <c r="X97" s="49">
        <f>IF(W97&gt;0,W97*Plan!$D$28/100/12,0)</f>
        <v/>
      </c>
      <c r="Y97" s="48">
        <f>IF(W97&lt;=0,0,MIN(W97+X97,Plan!$E$28))</f>
        <v/>
      </c>
      <c r="Z97" s="50">
        <f>MAX(0,W97+X97-Y97)</f>
        <v/>
      </c>
      <c r="AA97" s="50">
        <f>F97+J97+N97+R97+V97+Z97</f>
        <v/>
      </c>
    </row>
    <row r="98">
      <c r="A98" s="40" t="n">
        <v>91</v>
      </c>
      <c r="B98" s="41">
        <f>EDATE(Plan!$C$18,90)</f>
        <v/>
      </c>
      <c r="C98" s="42">
        <f>F97</f>
        <v/>
      </c>
      <c r="D98" s="43">
        <f>IF(C98&gt;0,C98*Plan!$D$23/100/12,0)</f>
        <v/>
      </c>
      <c r="E98" s="42">
        <f>IF(C98&lt;=0,0,MIN(C98+D98,Plan!$E$23))</f>
        <v/>
      </c>
      <c r="F98" s="44">
        <f>MAX(0,C98+D98-E98)</f>
        <v/>
      </c>
      <c r="G98" s="42">
        <f>J97</f>
        <v/>
      </c>
      <c r="H98" s="43">
        <f>IF(G98&gt;0,G98*Plan!$D$24/100/12,0)</f>
        <v/>
      </c>
      <c r="I98" s="42">
        <f>IF(G98&lt;=0,0,MIN(G98+H98,Plan!$E$24))</f>
        <v/>
      </c>
      <c r="J98" s="44">
        <f>MAX(0,G98+H98-I98)</f>
        <v/>
      </c>
      <c r="K98" s="42">
        <f>N97</f>
        <v/>
      </c>
      <c r="L98" s="43">
        <f>IF(K98&gt;0,K98*Plan!$D$25/100/12,0)</f>
        <v/>
      </c>
      <c r="M98" s="42">
        <f>IF(K98&lt;=0,0,MIN(K98+L98,Plan!$E$25))</f>
        <v/>
      </c>
      <c r="N98" s="44">
        <f>MAX(0,K98+L98-M98)</f>
        <v/>
      </c>
      <c r="O98" s="42">
        <f>R97</f>
        <v/>
      </c>
      <c r="P98" s="43">
        <f>IF(O98&gt;0,O98*Plan!$D$26/100/12,0)</f>
        <v/>
      </c>
      <c r="Q98" s="42">
        <f>IF(O98&lt;=0,0,MIN(O98+P98,Plan!$E$26))</f>
        <v/>
      </c>
      <c r="R98" s="44">
        <f>MAX(0,O98+P98-Q98)</f>
        <v/>
      </c>
      <c r="S98" s="42">
        <f>V97</f>
        <v/>
      </c>
      <c r="T98" s="43">
        <f>IF(S98&gt;0,S98*Plan!$D$27/100/12,0)</f>
        <v/>
      </c>
      <c r="U98" s="42">
        <f>IF(S98&lt;=0,0,MIN(S98+T98,Plan!$E$27))</f>
        <v/>
      </c>
      <c r="V98" s="44">
        <f>MAX(0,S98+T98-U98)</f>
        <v/>
      </c>
      <c r="W98" s="42">
        <f>Z97</f>
        <v/>
      </c>
      <c r="X98" s="43">
        <f>IF(W98&gt;0,W98*Plan!$D$28/100/12,0)</f>
        <v/>
      </c>
      <c r="Y98" s="42">
        <f>IF(W98&lt;=0,0,MIN(W98+X98,Plan!$E$28))</f>
        <v/>
      </c>
      <c r="Z98" s="44">
        <f>MAX(0,W98+X98-Y98)</f>
        <v/>
      </c>
      <c r="AA98" s="44">
        <f>F98+J98+N98+R98+V98+Z98</f>
        <v/>
      </c>
    </row>
    <row r="99">
      <c r="A99" s="46" t="n">
        <v>92</v>
      </c>
      <c r="B99" s="47">
        <f>EDATE(Plan!$C$18,91)</f>
        <v/>
      </c>
      <c r="C99" s="48">
        <f>F98</f>
        <v/>
      </c>
      <c r="D99" s="49">
        <f>IF(C99&gt;0,C99*Plan!$D$23/100/12,0)</f>
        <v/>
      </c>
      <c r="E99" s="48">
        <f>IF(C99&lt;=0,0,MIN(C99+D99,Plan!$E$23))</f>
        <v/>
      </c>
      <c r="F99" s="50">
        <f>MAX(0,C99+D99-E99)</f>
        <v/>
      </c>
      <c r="G99" s="48">
        <f>J98</f>
        <v/>
      </c>
      <c r="H99" s="49">
        <f>IF(G99&gt;0,G99*Plan!$D$24/100/12,0)</f>
        <v/>
      </c>
      <c r="I99" s="48">
        <f>IF(G99&lt;=0,0,MIN(G99+H99,Plan!$E$24))</f>
        <v/>
      </c>
      <c r="J99" s="50">
        <f>MAX(0,G99+H99-I99)</f>
        <v/>
      </c>
      <c r="K99" s="48">
        <f>N98</f>
        <v/>
      </c>
      <c r="L99" s="49">
        <f>IF(K99&gt;0,K99*Plan!$D$25/100/12,0)</f>
        <v/>
      </c>
      <c r="M99" s="48">
        <f>IF(K99&lt;=0,0,MIN(K99+L99,Plan!$E$25))</f>
        <v/>
      </c>
      <c r="N99" s="50">
        <f>MAX(0,K99+L99-M99)</f>
        <v/>
      </c>
      <c r="O99" s="48">
        <f>R98</f>
        <v/>
      </c>
      <c r="P99" s="49">
        <f>IF(O99&gt;0,O99*Plan!$D$26/100/12,0)</f>
        <v/>
      </c>
      <c r="Q99" s="48">
        <f>IF(O99&lt;=0,0,MIN(O99+P99,Plan!$E$26))</f>
        <v/>
      </c>
      <c r="R99" s="50">
        <f>MAX(0,O99+P99-Q99)</f>
        <v/>
      </c>
      <c r="S99" s="48">
        <f>V98</f>
        <v/>
      </c>
      <c r="T99" s="49">
        <f>IF(S99&gt;0,S99*Plan!$D$27/100/12,0)</f>
        <v/>
      </c>
      <c r="U99" s="48">
        <f>IF(S99&lt;=0,0,MIN(S99+T99,Plan!$E$27))</f>
        <v/>
      </c>
      <c r="V99" s="50">
        <f>MAX(0,S99+T99-U99)</f>
        <v/>
      </c>
      <c r="W99" s="48">
        <f>Z98</f>
        <v/>
      </c>
      <c r="X99" s="49">
        <f>IF(W99&gt;0,W99*Plan!$D$28/100/12,0)</f>
        <v/>
      </c>
      <c r="Y99" s="48">
        <f>IF(W99&lt;=0,0,MIN(W99+X99,Plan!$E$28))</f>
        <v/>
      </c>
      <c r="Z99" s="50">
        <f>MAX(0,W99+X99-Y99)</f>
        <v/>
      </c>
      <c r="AA99" s="50">
        <f>F99+J99+N99+R99+V99+Z99</f>
        <v/>
      </c>
    </row>
    <row r="100">
      <c r="A100" s="40" t="n">
        <v>93</v>
      </c>
      <c r="B100" s="41">
        <f>EDATE(Plan!$C$18,92)</f>
        <v/>
      </c>
      <c r="C100" s="42">
        <f>F99</f>
        <v/>
      </c>
      <c r="D100" s="43">
        <f>IF(C100&gt;0,C100*Plan!$D$23/100/12,0)</f>
        <v/>
      </c>
      <c r="E100" s="42">
        <f>IF(C100&lt;=0,0,MIN(C100+D100,Plan!$E$23))</f>
        <v/>
      </c>
      <c r="F100" s="44">
        <f>MAX(0,C100+D100-E100)</f>
        <v/>
      </c>
      <c r="G100" s="42">
        <f>J99</f>
        <v/>
      </c>
      <c r="H100" s="43">
        <f>IF(G100&gt;0,G100*Plan!$D$24/100/12,0)</f>
        <v/>
      </c>
      <c r="I100" s="42">
        <f>IF(G100&lt;=0,0,MIN(G100+H100,Plan!$E$24))</f>
        <v/>
      </c>
      <c r="J100" s="44">
        <f>MAX(0,G100+H100-I100)</f>
        <v/>
      </c>
      <c r="K100" s="42">
        <f>N99</f>
        <v/>
      </c>
      <c r="L100" s="43">
        <f>IF(K100&gt;0,K100*Plan!$D$25/100/12,0)</f>
        <v/>
      </c>
      <c r="M100" s="42">
        <f>IF(K100&lt;=0,0,MIN(K100+L100,Plan!$E$25))</f>
        <v/>
      </c>
      <c r="N100" s="44">
        <f>MAX(0,K100+L100-M100)</f>
        <v/>
      </c>
      <c r="O100" s="42">
        <f>R99</f>
        <v/>
      </c>
      <c r="P100" s="43">
        <f>IF(O100&gt;0,O100*Plan!$D$26/100/12,0)</f>
        <v/>
      </c>
      <c r="Q100" s="42">
        <f>IF(O100&lt;=0,0,MIN(O100+P100,Plan!$E$26))</f>
        <v/>
      </c>
      <c r="R100" s="44">
        <f>MAX(0,O100+P100-Q100)</f>
        <v/>
      </c>
      <c r="S100" s="42">
        <f>V99</f>
        <v/>
      </c>
      <c r="T100" s="43">
        <f>IF(S100&gt;0,S100*Plan!$D$27/100/12,0)</f>
        <v/>
      </c>
      <c r="U100" s="42">
        <f>IF(S100&lt;=0,0,MIN(S100+T100,Plan!$E$27))</f>
        <v/>
      </c>
      <c r="V100" s="44">
        <f>MAX(0,S100+T100-U100)</f>
        <v/>
      </c>
      <c r="W100" s="42">
        <f>Z99</f>
        <v/>
      </c>
      <c r="X100" s="43">
        <f>IF(W100&gt;0,W100*Plan!$D$28/100/12,0)</f>
        <v/>
      </c>
      <c r="Y100" s="42">
        <f>IF(W100&lt;=0,0,MIN(W100+X100,Plan!$E$28))</f>
        <v/>
      </c>
      <c r="Z100" s="44">
        <f>MAX(0,W100+X100-Y100)</f>
        <v/>
      </c>
      <c r="AA100" s="44">
        <f>F100+J100+N100+R100+V100+Z100</f>
        <v/>
      </c>
    </row>
    <row r="101">
      <c r="A101" s="46" t="n">
        <v>94</v>
      </c>
      <c r="B101" s="47">
        <f>EDATE(Plan!$C$18,93)</f>
        <v/>
      </c>
      <c r="C101" s="48">
        <f>F100</f>
        <v/>
      </c>
      <c r="D101" s="49">
        <f>IF(C101&gt;0,C101*Plan!$D$23/100/12,0)</f>
        <v/>
      </c>
      <c r="E101" s="48">
        <f>IF(C101&lt;=0,0,MIN(C101+D101,Plan!$E$23))</f>
        <v/>
      </c>
      <c r="F101" s="50">
        <f>MAX(0,C101+D101-E101)</f>
        <v/>
      </c>
      <c r="G101" s="48">
        <f>J100</f>
        <v/>
      </c>
      <c r="H101" s="49">
        <f>IF(G101&gt;0,G101*Plan!$D$24/100/12,0)</f>
        <v/>
      </c>
      <c r="I101" s="48">
        <f>IF(G101&lt;=0,0,MIN(G101+H101,Plan!$E$24))</f>
        <v/>
      </c>
      <c r="J101" s="50">
        <f>MAX(0,G101+H101-I101)</f>
        <v/>
      </c>
      <c r="K101" s="48">
        <f>N100</f>
        <v/>
      </c>
      <c r="L101" s="49">
        <f>IF(K101&gt;0,K101*Plan!$D$25/100/12,0)</f>
        <v/>
      </c>
      <c r="M101" s="48">
        <f>IF(K101&lt;=0,0,MIN(K101+L101,Plan!$E$25))</f>
        <v/>
      </c>
      <c r="N101" s="50">
        <f>MAX(0,K101+L101-M101)</f>
        <v/>
      </c>
      <c r="O101" s="48">
        <f>R100</f>
        <v/>
      </c>
      <c r="P101" s="49">
        <f>IF(O101&gt;0,O101*Plan!$D$26/100/12,0)</f>
        <v/>
      </c>
      <c r="Q101" s="48">
        <f>IF(O101&lt;=0,0,MIN(O101+P101,Plan!$E$26))</f>
        <v/>
      </c>
      <c r="R101" s="50">
        <f>MAX(0,O101+P101-Q101)</f>
        <v/>
      </c>
      <c r="S101" s="48">
        <f>V100</f>
        <v/>
      </c>
      <c r="T101" s="49">
        <f>IF(S101&gt;0,S101*Plan!$D$27/100/12,0)</f>
        <v/>
      </c>
      <c r="U101" s="48">
        <f>IF(S101&lt;=0,0,MIN(S101+T101,Plan!$E$27))</f>
        <v/>
      </c>
      <c r="V101" s="50">
        <f>MAX(0,S101+T101-U101)</f>
        <v/>
      </c>
      <c r="W101" s="48">
        <f>Z100</f>
        <v/>
      </c>
      <c r="X101" s="49">
        <f>IF(W101&gt;0,W101*Plan!$D$28/100/12,0)</f>
        <v/>
      </c>
      <c r="Y101" s="48">
        <f>IF(W101&lt;=0,0,MIN(W101+X101,Plan!$E$28))</f>
        <v/>
      </c>
      <c r="Z101" s="50">
        <f>MAX(0,W101+X101-Y101)</f>
        <v/>
      </c>
      <c r="AA101" s="50">
        <f>F101+J101+N101+R101+V101+Z101</f>
        <v/>
      </c>
    </row>
    <row r="102">
      <c r="A102" s="40" t="n">
        <v>95</v>
      </c>
      <c r="B102" s="41">
        <f>EDATE(Plan!$C$18,94)</f>
        <v/>
      </c>
      <c r="C102" s="42">
        <f>F101</f>
        <v/>
      </c>
      <c r="D102" s="43">
        <f>IF(C102&gt;0,C102*Plan!$D$23/100/12,0)</f>
        <v/>
      </c>
      <c r="E102" s="42">
        <f>IF(C102&lt;=0,0,MIN(C102+D102,Plan!$E$23))</f>
        <v/>
      </c>
      <c r="F102" s="44">
        <f>MAX(0,C102+D102-E102)</f>
        <v/>
      </c>
      <c r="G102" s="42">
        <f>J101</f>
        <v/>
      </c>
      <c r="H102" s="43">
        <f>IF(G102&gt;0,G102*Plan!$D$24/100/12,0)</f>
        <v/>
      </c>
      <c r="I102" s="42">
        <f>IF(G102&lt;=0,0,MIN(G102+H102,Plan!$E$24))</f>
        <v/>
      </c>
      <c r="J102" s="44">
        <f>MAX(0,G102+H102-I102)</f>
        <v/>
      </c>
      <c r="K102" s="42">
        <f>N101</f>
        <v/>
      </c>
      <c r="L102" s="43">
        <f>IF(K102&gt;0,K102*Plan!$D$25/100/12,0)</f>
        <v/>
      </c>
      <c r="M102" s="42">
        <f>IF(K102&lt;=0,0,MIN(K102+L102,Plan!$E$25))</f>
        <v/>
      </c>
      <c r="N102" s="44">
        <f>MAX(0,K102+L102-M102)</f>
        <v/>
      </c>
      <c r="O102" s="42">
        <f>R101</f>
        <v/>
      </c>
      <c r="P102" s="43">
        <f>IF(O102&gt;0,O102*Plan!$D$26/100/12,0)</f>
        <v/>
      </c>
      <c r="Q102" s="42">
        <f>IF(O102&lt;=0,0,MIN(O102+P102,Plan!$E$26))</f>
        <v/>
      </c>
      <c r="R102" s="44">
        <f>MAX(0,O102+P102-Q102)</f>
        <v/>
      </c>
      <c r="S102" s="42">
        <f>V101</f>
        <v/>
      </c>
      <c r="T102" s="43">
        <f>IF(S102&gt;0,S102*Plan!$D$27/100/12,0)</f>
        <v/>
      </c>
      <c r="U102" s="42">
        <f>IF(S102&lt;=0,0,MIN(S102+T102,Plan!$E$27))</f>
        <v/>
      </c>
      <c r="V102" s="44">
        <f>MAX(0,S102+T102-U102)</f>
        <v/>
      </c>
      <c r="W102" s="42">
        <f>Z101</f>
        <v/>
      </c>
      <c r="X102" s="43">
        <f>IF(W102&gt;0,W102*Plan!$D$28/100/12,0)</f>
        <v/>
      </c>
      <c r="Y102" s="42">
        <f>IF(W102&lt;=0,0,MIN(W102+X102,Plan!$E$28))</f>
        <v/>
      </c>
      <c r="Z102" s="44">
        <f>MAX(0,W102+X102-Y102)</f>
        <v/>
      </c>
      <c r="AA102" s="44">
        <f>F102+J102+N102+R102+V102+Z102</f>
        <v/>
      </c>
    </row>
    <row r="103">
      <c r="A103" s="46" t="n">
        <v>96</v>
      </c>
      <c r="B103" s="47">
        <f>EDATE(Plan!$C$18,95)</f>
        <v/>
      </c>
      <c r="C103" s="48">
        <f>F102</f>
        <v/>
      </c>
      <c r="D103" s="49">
        <f>IF(C103&gt;0,C103*Plan!$D$23/100/12,0)</f>
        <v/>
      </c>
      <c r="E103" s="48">
        <f>IF(C103&lt;=0,0,MIN(C103+D103,Plan!$E$23))</f>
        <v/>
      </c>
      <c r="F103" s="50">
        <f>MAX(0,C103+D103-E103)</f>
        <v/>
      </c>
      <c r="G103" s="48">
        <f>J102</f>
        <v/>
      </c>
      <c r="H103" s="49">
        <f>IF(G103&gt;0,G103*Plan!$D$24/100/12,0)</f>
        <v/>
      </c>
      <c r="I103" s="48">
        <f>IF(G103&lt;=0,0,MIN(G103+H103,Plan!$E$24))</f>
        <v/>
      </c>
      <c r="J103" s="50">
        <f>MAX(0,G103+H103-I103)</f>
        <v/>
      </c>
      <c r="K103" s="48">
        <f>N102</f>
        <v/>
      </c>
      <c r="L103" s="49">
        <f>IF(K103&gt;0,K103*Plan!$D$25/100/12,0)</f>
        <v/>
      </c>
      <c r="M103" s="48">
        <f>IF(K103&lt;=0,0,MIN(K103+L103,Plan!$E$25))</f>
        <v/>
      </c>
      <c r="N103" s="50">
        <f>MAX(0,K103+L103-M103)</f>
        <v/>
      </c>
      <c r="O103" s="48">
        <f>R102</f>
        <v/>
      </c>
      <c r="P103" s="49">
        <f>IF(O103&gt;0,O103*Plan!$D$26/100/12,0)</f>
        <v/>
      </c>
      <c r="Q103" s="48">
        <f>IF(O103&lt;=0,0,MIN(O103+P103,Plan!$E$26))</f>
        <v/>
      </c>
      <c r="R103" s="50">
        <f>MAX(0,O103+P103-Q103)</f>
        <v/>
      </c>
      <c r="S103" s="48">
        <f>V102</f>
        <v/>
      </c>
      <c r="T103" s="49">
        <f>IF(S103&gt;0,S103*Plan!$D$27/100/12,0)</f>
        <v/>
      </c>
      <c r="U103" s="48">
        <f>IF(S103&lt;=0,0,MIN(S103+T103,Plan!$E$27))</f>
        <v/>
      </c>
      <c r="V103" s="50">
        <f>MAX(0,S103+T103-U103)</f>
        <v/>
      </c>
      <c r="W103" s="48">
        <f>Z102</f>
        <v/>
      </c>
      <c r="X103" s="49">
        <f>IF(W103&gt;0,W103*Plan!$D$28/100/12,0)</f>
        <v/>
      </c>
      <c r="Y103" s="48">
        <f>IF(W103&lt;=0,0,MIN(W103+X103,Plan!$E$28))</f>
        <v/>
      </c>
      <c r="Z103" s="50">
        <f>MAX(0,W103+X103-Y103)</f>
        <v/>
      </c>
      <c r="AA103" s="50">
        <f>F103+J103+N103+R103+V103+Z103</f>
        <v/>
      </c>
    </row>
    <row r="104">
      <c r="A104" s="40" t="n">
        <v>97</v>
      </c>
      <c r="B104" s="41">
        <f>EDATE(Plan!$C$18,96)</f>
        <v/>
      </c>
      <c r="C104" s="42">
        <f>F103</f>
        <v/>
      </c>
      <c r="D104" s="43">
        <f>IF(C104&gt;0,C104*Plan!$D$23/100/12,0)</f>
        <v/>
      </c>
      <c r="E104" s="42">
        <f>IF(C104&lt;=0,0,MIN(C104+D104,Plan!$E$23))</f>
        <v/>
      </c>
      <c r="F104" s="44">
        <f>MAX(0,C104+D104-E104)</f>
        <v/>
      </c>
      <c r="G104" s="42">
        <f>J103</f>
        <v/>
      </c>
      <c r="H104" s="43">
        <f>IF(G104&gt;0,G104*Plan!$D$24/100/12,0)</f>
        <v/>
      </c>
      <c r="I104" s="42">
        <f>IF(G104&lt;=0,0,MIN(G104+H104,Plan!$E$24))</f>
        <v/>
      </c>
      <c r="J104" s="44">
        <f>MAX(0,G104+H104-I104)</f>
        <v/>
      </c>
      <c r="K104" s="42">
        <f>N103</f>
        <v/>
      </c>
      <c r="L104" s="43">
        <f>IF(K104&gt;0,K104*Plan!$D$25/100/12,0)</f>
        <v/>
      </c>
      <c r="M104" s="42">
        <f>IF(K104&lt;=0,0,MIN(K104+L104,Plan!$E$25))</f>
        <v/>
      </c>
      <c r="N104" s="44">
        <f>MAX(0,K104+L104-M104)</f>
        <v/>
      </c>
      <c r="O104" s="42">
        <f>R103</f>
        <v/>
      </c>
      <c r="P104" s="43">
        <f>IF(O104&gt;0,O104*Plan!$D$26/100/12,0)</f>
        <v/>
      </c>
      <c r="Q104" s="42">
        <f>IF(O104&lt;=0,0,MIN(O104+P104,Plan!$E$26))</f>
        <v/>
      </c>
      <c r="R104" s="44">
        <f>MAX(0,O104+P104-Q104)</f>
        <v/>
      </c>
      <c r="S104" s="42">
        <f>V103</f>
        <v/>
      </c>
      <c r="T104" s="43">
        <f>IF(S104&gt;0,S104*Plan!$D$27/100/12,0)</f>
        <v/>
      </c>
      <c r="U104" s="42">
        <f>IF(S104&lt;=0,0,MIN(S104+T104,Plan!$E$27))</f>
        <v/>
      </c>
      <c r="V104" s="44">
        <f>MAX(0,S104+T104-U104)</f>
        <v/>
      </c>
      <c r="W104" s="42">
        <f>Z103</f>
        <v/>
      </c>
      <c r="X104" s="43">
        <f>IF(W104&gt;0,W104*Plan!$D$28/100/12,0)</f>
        <v/>
      </c>
      <c r="Y104" s="42">
        <f>IF(W104&lt;=0,0,MIN(W104+X104,Plan!$E$28))</f>
        <v/>
      </c>
      <c r="Z104" s="44">
        <f>MAX(0,W104+X104-Y104)</f>
        <v/>
      </c>
      <c r="AA104" s="44">
        <f>F104+J104+N104+R104+V104+Z104</f>
        <v/>
      </c>
    </row>
    <row r="105">
      <c r="A105" s="46" t="n">
        <v>98</v>
      </c>
      <c r="B105" s="47">
        <f>EDATE(Plan!$C$18,97)</f>
        <v/>
      </c>
      <c r="C105" s="48">
        <f>F104</f>
        <v/>
      </c>
      <c r="D105" s="49">
        <f>IF(C105&gt;0,C105*Plan!$D$23/100/12,0)</f>
        <v/>
      </c>
      <c r="E105" s="48">
        <f>IF(C105&lt;=0,0,MIN(C105+D105,Plan!$E$23))</f>
        <v/>
      </c>
      <c r="F105" s="50">
        <f>MAX(0,C105+D105-E105)</f>
        <v/>
      </c>
      <c r="G105" s="48">
        <f>J104</f>
        <v/>
      </c>
      <c r="H105" s="49">
        <f>IF(G105&gt;0,G105*Plan!$D$24/100/12,0)</f>
        <v/>
      </c>
      <c r="I105" s="48">
        <f>IF(G105&lt;=0,0,MIN(G105+H105,Plan!$E$24))</f>
        <v/>
      </c>
      <c r="J105" s="50">
        <f>MAX(0,G105+H105-I105)</f>
        <v/>
      </c>
      <c r="K105" s="48">
        <f>N104</f>
        <v/>
      </c>
      <c r="L105" s="49">
        <f>IF(K105&gt;0,K105*Plan!$D$25/100/12,0)</f>
        <v/>
      </c>
      <c r="M105" s="48">
        <f>IF(K105&lt;=0,0,MIN(K105+L105,Plan!$E$25))</f>
        <v/>
      </c>
      <c r="N105" s="50">
        <f>MAX(0,K105+L105-M105)</f>
        <v/>
      </c>
      <c r="O105" s="48">
        <f>R104</f>
        <v/>
      </c>
      <c r="P105" s="49">
        <f>IF(O105&gt;0,O105*Plan!$D$26/100/12,0)</f>
        <v/>
      </c>
      <c r="Q105" s="48">
        <f>IF(O105&lt;=0,0,MIN(O105+P105,Plan!$E$26))</f>
        <v/>
      </c>
      <c r="R105" s="50">
        <f>MAX(0,O105+P105-Q105)</f>
        <v/>
      </c>
      <c r="S105" s="48">
        <f>V104</f>
        <v/>
      </c>
      <c r="T105" s="49">
        <f>IF(S105&gt;0,S105*Plan!$D$27/100/12,0)</f>
        <v/>
      </c>
      <c r="U105" s="48">
        <f>IF(S105&lt;=0,0,MIN(S105+T105,Plan!$E$27))</f>
        <v/>
      </c>
      <c r="V105" s="50">
        <f>MAX(0,S105+T105-U105)</f>
        <v/>
      </c>
      <c r="W105" s="48">
        <f>Z104</f>
        <v/>
      </c>
      <c r="X105" s="49">
        <f>IF(W105&gt;0,W105*Plan!$D$28/100/12,0)</f>
        <v/>
      </c>
      <c r="Y105" s="48">
        <f>IF(W105&lt;=0,0,MIN(W105+X105,Plan!$E$28))</f>
        <v/>
      </c>
      <c r="Z105" s="50">
        <f>MAX(0,W105+X105-Y105)</f>
        <v/>
      </c>
      <c r="AA105" s="50">
        <f>F105+J105+N105+R105+V105+Z105</f>
        <v/>
      </c>
    </row>
    <row r="106">
      <c r="A106" s="40" t="n">
        <v>99</v>
      </c>
      <c r="B106" s="41">
        <f>EDATE(Plan!$C$18,98)</f>
        <v/>
      </c>
      <c r="C106" s="42">
        <f>F105</f>
        <v/>
      </c>
      <c r="D106" s="43">
        <f>IF(C106&gt;0,C106*Plan!$D$23/100/12,0)</f>
        <v/>
      </c>
      <c r="E106" s="42">
        <f>IF(C106&lt;=0,0,MIN(C106+D106,Plan!$E$23))</f>
        <v/>
      </c>
      <c r="F106" s="44">
        <f>MAX(0,C106+D106-E106)</f>
        <v/>
      </c>
      <c r="G106" s="42">
        <f>J105</f>
        <v/>
      </c>
      <c r="H106" s="43">
        <f>IF(G106&gt;0,G106*Plan!$D$24/100/12,0)</f>
        <v/>
      </c>
      <c r="I106" s="42">
        <f>IF(G106&lt;=0,0,MIN(G106+H106,Plan!$E$24))</f>
        <v/>
      </c>
      <c r="J106" s="44">
        <f>MAX(0,G106+H106-I106)</f>
        <v/>
      </c>
      <c r="K106" s="42">
        <f>N105</f>
        <v/>
      </c>
      <c r="L106" s="43">
        <f>IF(K106&gt;0,K106*Plan!$D$25/100/12,0)</f>
        <v/>
      </c>
      <c r="M106" s="42">
        <f>IF(K106&lt;=0,0,MIN(K106+L106,Plan!$E$25))</f>
        <v/>
      </c>
      <c r="N106" s="44">
        <f>MAX(0,K106+L106-M106)</f>
        <v/>
      </c>
      <c r="O106" s="42">
        <f>R105</f>
        <v/>
      </c>
      <c r="P106" s="43">
        <f>IF(O106&gt;0,O106*Plan!$D$26/100/12,0)</f>
        <v/>
      </c>
      <c r="Q106" s="42">
        <f>IF(O106&lt;=0,0,MIN(O106+P106,Plan!$E$26))</f>
        <v/>
      </c>
      <c r="R106" s="44">
        <f>MAX(0,O106+P106-Q106)</f>
        <v/>
      </c>
      <c r="S106" s="42">
        <f>V105</f>
        <v/>
      </c>
      <c r="T106" s="43">
        <f>IF(S106&gt;0,S106*Plan!$D$27/100/12,0)</f>
        <v/>
      </c>
      <c r="U106" s="42">
        <f>IF(S106&lt;=0,0,MIN(S106+T106,Plan!$E$27))</f>
        <v/>
      </c>
      <c r="V106" s="44">
        <f>MAX(0,S106+T106-U106)</f>
        <v/>
      </c>
      <c r="W106" s="42">
        <f>Z105</f>
        <v/>
      </c>
      <c r="X106" s="43">
        <f>IF(W106&gt;0,W106*Plan!$D$28/100/12,0)</f>
        <v/>
      </c>
      <c r="Y106" s="42">
        <f>IF(W106&lt;=0,0,MIN(W106+X106,Plan!$E$28))</f>
        <v/>
      </c>
      <c r="Z106" s="44">
        <f>MAX(0,W106+X106-Y106)</f>
        <v/>
      </c>
      <c r="AA106" s="44">
        <f>F106+J106+N106+R106+V106+Z106</f>
        <v/>
      </c>
    </row>
    <row r="107">
      <c r="A107" s="46" t="n">
        <v>100</v>
      </c>
      <c r="B107" s="47">
        <f>EDATE(Plan!$C$18,99)</f>
        <v/>
      </c>
      <c r="C107" s="48">
        <f>F106</f>
        <v/>
      </c>
      <c r="D107" s="49">
        <f>IF(C107&gt;0,C107*Plan!$D$23/100/12,0)</f>
        <v/>
      </c>
      <c r="E107" s="48">
        <f>IF(C107&lt;=0,0,MIN(C107+D107,Plan!$E$23))</f>
        <v/>
      </c>
      <c r="F107" s="50">
        <f>MAX(0,C107+D107-E107)</f>
        <v/>
      </c>
      <c r="G107" s="48">
        <f>J106</f>
        <v/>
      </c>
      <c r="H107" s="49">
        <f>IF(G107&gt;0,G107*Plan!$D$24/100/12,0)</f>
        <v/>
      </c>
      <c r="I107" s="48">
        <f>IF(G107&lt;=0,0,MIN(G107+H107,Plan!$E$24))</f>
        <v/>
      </c>
      <c r="J107" s="50">
        <f>MAX(0,G107+H107-I107)</f>
        <v/>
      </c>
      <c r="K107" s="48">
        <f>N106</f>
        <v/>
      </c>
      <c r="L107" s="49">
        <f>IF(K107&gt;0,K107*Plan!$D$25/100/12,0)</f>
        <v/>
      </c>
      <c r="M107" s="48">
        <f>IF(K107&lt;=0,0,MIN(K107+L107,Plan!$E$25))</f>
        <v/>
      </c>
      <c r="N107" s="50">
        <f>MAX(0,K107+L107-M107)</f>
        <v/>
      </c>
      <c r="O107" s="48">
        <f>R106</f>
        <v/>
      </c>
      <c r="P107" s="49">
        <f>IF(O107&gt;0,O107*Plan!$D$26/100/12,0)</f>
        <v/>
      </c>
      <c r="Q107" s="48">
        <f>IF(O107&lt;=0,0,MIN(O107+P107,Plan!$E$26))</f>
        <v/>
      </c>
      <c r="R107" s="50">
        <f>MAX(0,O107+P107-Q107)</f>
        <v/>
      </c>
      <c r="S107" s="48">
        <f>V106</f>
        <v/>
      </c>
      <c r="T107" s="49">
        <f>IF(S107&gt;0,S107*Plan!$D$27/100/12,0)</f>
        <v/>
      </c>
      <c r="U107" s="48">
        <f>IF(S107&lt;=0,0,MIN(S107+T107,Plan!$E$27))</f>
        <v/>
      </c>
      <c r="V107" s="50">
        <f>MAX(0,S107+T107-U107)</f>
        <v/>
      </c>
      <c r="W107" s="48">
        <f>Z106</f>
        <v/>
      </c>
      <c r="X107" s="49">
        <f>IF(W107&gt;0,W107*Plan!$D$28/100/12,0)</f>
        <v/>
      </c>
      <c r="Y107" s="48">
        <f>IF(W107&lt;=0,0,MIN(W107+X107,Plan!$E$28))</f>
        <v/>
      </c>
      <c r="Z107" s="50">
        <f>MAX(0,W107+X107-Y107)</f>
        <v/>
      </c>
      <c r="AA107" s="50">
        <f>F107+J107+N107+R107+V107+Z107</f>
        <v/>
      </c>
    </row>
    <row r="108">
      <c r="A108" s="40" t="n">
        <v>101</v>
      </c>
      <c r="B108" s="41">
        <f>EDATE(Plan!$C$18,100)</f>
        <v/>
      </c>
      <c r="C108" s="42">
        <f>F107</f>
        <v/>
      </c>
      <c r="D108" s="43">
        <f>IF(C108&gt;0,C108*Plan!$D$23/100/12,0)</f>
        <v/>
      </c>
      <c r="E108" s="42">
        <f>IF(C108&lt;=0,0,MIN(C108+D108,Plan!$E$23))</f>
        <v/>
      </c>
      <c r="F108" s="44">
        <f>MAX(0,C108+D108-E108)</f>
        <v/>
      </c>
      <c r="G108" s="42">
        <f>J107</f>
        <v/>
      </c>
      <c r="H108" s="43">
        <f>IF(G108&gt;0,G108*Plan!$D$24/100/12,0)</f>
        <v/>
      </c>
      <c r="I108" s="42">
        <f>IF(G108&lt;=0,0,MIN(G108+H108,Plan!$E$24))</f>
        <v/>
      </c>
      <c r="J108" s="44">
        <f>MAX(0,G108+H108-I108)</f>
        <v/>
      </c>
      <c r="K108" s="42">
        <f>N107</f>
        <v/>
      </c>
      <c r="L108" s="43">
        <f>IF(K108&gt;0,K108*Plan!$D$25/100/12,0)</f>
        <v/>
      </c>
      <c r="M108" s="42">
        <f>IF(K108&lt;=0,0,MIN(K108+L108,Plan!$E$25))</f>
        <v/>
      </c>
      <c r="N108" s="44">
        <f>MAX(0,K108+L108-M108)</f>
        <v/>
      </c>
      <c r="O108" s="42">
        <f>R107</f>
        <v/>
      </c>
      <c r="P108" s="43">
        <f>IF(O108&gt;0,O108*Plan!$D$26/100/12,0)</f>
        <v/>
      </c>
      <c r="Q108" s="42">
        <f>IF(O108&lt;=0,0,MIN(O108+P108,Plan!$E$26))</f>
        <v/>
      </c>
      <c r="R108" s="44">
        <f>MAX(0,O108+P108-Q108)</f>
        <v/>
      </c>
      <c r="S108" s="42">
        <f>V107</f>
        <v/>
      </c>
      <c r="T108" s="43">
        <f>IF(S108&gt;0,S108*Plan!$D$27/100/12,0)</f>
        <v/>
      </c>
      <c r="U108" s="42">
        <f>IF(S108&lt;=0,0,MIN(S108+T108,Plan!$E$27))</f>
        <v/>
      </c>
      <c r="V108" s="44">
        <f>MAX(0,S108+T108-U108)</f>
        <v/>
      </c>
      <c r="W108" s="42">
        <f>Z107</f>
        <v/>
      </c>
      <c r="X108" s="43">
        <f>IF(W108&gt;0,W108*Plan!$D$28/100/12,0)</f>
        <v/>
      </c>
      <c r="Y108" s="42">
        <f>IF(W108&lt;=0,0,MIN(W108+X108,Plan!$E$28))</f>
        <v/>
      </c>
      <c r="Z108" s="44">
        <f>MAX(0,W108+X108-Y108)</f>
        <v/>
      </c>
      <c r="AA108" s="44">
        <f>F108+J108+N108+R108+V108+Z108</f>
        <v/>
      </c>
    </row>
    <row r="109">
      <c r="A109" s="46" t="n">
        <v>102</v>
      </c>
      <c r="B109" s="47">
        <f>EDATE(Plan!$C$18,101)</f>
        <v/>
      </c>
      <c r="C109" s="48">
        <f>F108</f>
        <v/>
      </c>
      <c r="D109" s="49">
        <f>IF(C109&gt;0,C109*Plan!$D$23/100/12,0)</f>
        <v/>
      </c>
      <c r="E109" s="48">
        <f>IF(C109&lt;=0,0,MIN(C109+D109,Plan!$E$23))</f>
        <v/>
      </c>
      <c r="F109" s="50">
        <f>MAX(0,C109+D109-E109)</f>
        <v/>
      </c>
      <c r="G109" s="48">
        <f>J108</f>
        <v/>
      </c>
      <c r="H109" s="49">
        <f>IF(G109&gt;0,G109*Plan!$D$24/100/12,0)</f>
        <v/>
      </c>
      <c r="I109" s="48">
        <f>IF(G109&lt;=0,0,MIN(G109+H109,Plan!$E$24))</f>
        <v/>
      </c>
      <c r="J109" s="50">
        <f>MAX(0,G109+H109-I109)</f>
        <v/>
      </c>
      <c r="K109" s="48">
        <f>N108</f>
        <v/>
      </c>
      <c r="L109" s="49">
        <f>IF(K109&gt;0,K109*Plan!$D$25/100/12,0)</f>
        <v/>
      </c>
      <c r="M109" s="48">
        <f>IF(K109&lt;=0,0,MIN(K109+L109,Plan!$E$25))</f>
        <v/>
      </c>
      <c r="N109" s="50">
        <f>MAX(0,K109+L109-M109)</f>
        <v/>
      </c>
      <c r="O109" s="48">
        <f>R108</f>
        <v/>
      </c>
      <c r="P109" s="49">
        <f>IF(O109&gt;0,O109*Plan!$D$26/100/12,0)</f>
        <v/>
      </c>
      <c r="Q109" s="48">
        <f>IF(O109&lt;=0,0,MIN(O109+P109,Plan!$E$26))</f>
        <v/>
      </c>
      <c r="R109" s="50">
        <f>MAX(0,O109+P109-Q109)</f>
        <v/>
      </c>
      <c r="S109" s="48">
        <f>V108</f>
        <v/>
      </c>
      <c r="T109" s="49">
        <f>IF(S109&gt;0,S109*Plan!$D$27/100/12,0)</f>
        <v/>
      </c>
      <c r="U109" s="48">
        <f>IF(S109&lt;=0,0,MIN(S109+T109,Plan!$E$27))</f>
        <v/>
      </c>
      <c r="V109" s="50">
        <f>MAX(0,S109+T109-U109)</f>
        <v/>
      </c>
      <c r="W109" s="48">
        <f>Z108</f>
        <v/>
      </c>
      <c r="X109" s="49">
        <f>IF(W109&gt;0,W109*Plan!$D$28/100/12,0)</f>
        <v/>
      </c>
      <c r="Y109" s="48">
        <f>IF(W109&lt;=0,0,MIN(W109+X109,Plan!$E$28))</f>
        <v/>
      </c>
      <c r="Z109" s="50">
        <f>MAX(0,W109+X109-Y109)</f>
        <v/>
      </c>
      <c r="AA109" s="50">
        <f>F109+J109+N109+R109+V109+Z109</f>
        <v/>
      </c>
    </row>
    <row r="110">
      <c r="A110" s="40" t="n">
        <v>103</v>
      </c>
      <c r="B110" s="41">
        <f>EDATE(Plan!$C$18,102)</f>
        <v/>
      </c>
      <c r="C110" s="42">
        <f>F109</f>
        <v/>
      </c>
      <c r="D110" s="43">
        <f>IF(C110&gt;0,C110*Plan!$D$23/100/12,0)</f>
        <v/>
      </c>
      <c r="E110" s="42">
        <f>IF(C110&lt;=0,0,MIN(C110+D110,Plan!$E$23))</f>
        <v/>
      </c>
      <c r="F110" s="44">
        <f>MAX(0,C110+D110-E110)</f>
        <v/>
      </c>
      <c r="G110" s="42">
        <f>J109</f>
        <v/>
      </c>
      <c r="H110" s="43">
        <f>IF(G110&gt;0,G110*Plan!$D$24/100/12,0)</f>
        <v/>
      </c>
      <c r="I110" s="42">
        <f>IF(G110&lt;=0,0,MIN(G110+H110,Plan!$E$24))</f>
        <v/>
      </c>
      <c r="J110" s="44">
        <f>MAX(0,G110+H110-I110)</f>
        <v/>
      </c>
      <c r="K110" s="42">
        <f>N109</f>
        <v/>
      </c>
      <c r="L110" s="43">
        <f>IF(K110&gt;0,K110*Plan!$D$25/100/12,0)</f>
        <v/>
      </c>
      <c r="M110" s="42">
        <f>IF(K110&lt;=0,0,MIN(K110+L110,Plan!$E$25))</f>
        <v/>
      </c>
      <c r="N110" s="44">
        <f>MAX(0,K110+L110-M110)</f>
        <v/>
      </c>
      <c r="O110" s="42">
        <f>R109</f>
        <v/>
      </c>
      <c r="P110" s="43">
        <f>IF(O110&gt;0,O110*Plan!$D$26/100/12,0)</f>
        <v/>
      </c>
      <c r="Q110" s="42">
        <f>IF(O110&lt;=0,0,MIN(O110+P110,Plan!$E$26))</f>
        <v/>
      </c>
      <c r="R110" s="44">
        <f>MAX(0,O110+P110-Q110)</f>
        <v/>
      </c>
      <c r="S110" s="42">
        <f>V109</f>
        <v/>
      </c>
      <c r="T110" s="43">
        <f>IF(S110&gt;0,S110*Plan!$D$27/100/12,0)</f>
        <v/>
      </c>
      <c r="U110" s="42">
        <f>IF(S110&lt;=0,0,MIN(S110+T110,Plan!$E$27))</f>
        <v/>
      </c>
      <c r="V110" s="44">
        <f>MAX(0,S110+T110-U110)</f>
        <v/>
      </c>
      <c r="W110" s="42">
        <f>Z109</f>
        <v/>
      </c>
      <c r="X110" s="43">
        <f>IF(W110&gt;0,W110*Plan!$D$28/100/12,0)</f>
        <v/>
      </c>
      <c r="Y110" s="42">
        <f>IF(W110&lt;=0,0,MIN(W110+X110,Plan!$E$28))</f>
        <v/>
      </c>
      <c r="Z110" s="44">
        <f>MAX(0,W110+X110-Y110)</f>
        <v/>
      </c>
      <c r="AA110" s="44">
        <f>F110+J110+N110+R110+V110+Z110</f>
        <v/>
      </c>
    </row>
    <row r="111">
      <c r="A111" s="46" t="n">
        <v>104</v>
      </c>
      <c r="B111" s="47">
        <f>EDATE(Plan!$C$18,103)</f>
        <v/>
      </c>
      <c r="C111" s="48">
        <f>F110</f>
        <v/>
      </c>
      <c r="D111" s="49">
        <f>IF(C111&gt;0,C111*Plan!$D$23/100/12,0)</f>
        <v/>
      </c>
      <c r="E111" s="48">
        <f>IF(C111&lt;=0,0,MIN(C111+D111,Plan!$E$23))</f>
        <v/>
      </c>
      <c r="F111" s="50">
        <f>MAX(0,C111+D111-E111)</f>
        <v/>
      </c>
      <c r="G111" s="48">
        <f>J110</f>
        <v/>
      </c>
      <c r="H111" s="49">
        <f>IF(G111&gt;0,G111*Plan!$D$24/100/12,0)</f>
        <v/>
      </c>
      <c r="I111" s="48">
        <f>IF(G111&lt;=0,0,MIN(G111+H111,Plan!$E$24))</f>
        <v/>
      </c>
      <c r="J111" s="50">
        <f>MAX(0,G111+H111-I111)</f>
        <v/>
      </c>
      <c r="K111" s="48">
        <f>N110</f>
        <v/>
      </c>
      <c r="L111" s="49">
        <f>IF(K111&gt;0,K111*Plan!$D$25/100/12,0)</f>
        <v/>
      </c>
      <c r="M111" s="48">
        <f>IF(K111&lt;=0,0,MIN(K111+L111,Plan!$E$25))</f>
        <v/>
      </c>
      <c r="N111" s="50">
        <f>MAX(0,K111+L111-M111)</f>
        <v/>
      </c>
      <c r="O111" s="48">
        <f>R110</f>
        <v/>
      </c>
      <c r="P111" s="49">
        <f>IF(O111&gt;0,O111*Plan!$D$26/100/12,0)</f>
        <v/>
      </c>
      <c r="Q111" s="48">
        <f>IF(O111&lt;=0,0,MIN(O111+P111,Plan!$E$26))</f>
        <v/>
      </c>
      <c r="R111" s="50">
        <f>MAX(0,O111+P111-Q111)</f>
        <v/>
      </c>
      <c r="S111" s="48">
        <f>V110</f>
        <v/>
      </c>
      <c r="T111" s="49">
        <f>IF(S111&gt;0,S111*Plan!$D$27/100/12,0)</f>
        <v/>
      </c>
      <c r="U111" s="48">
        <f>IF(S111&lt;=0,0,MIN(S111+T111,Plan!$E$27))</f>
        <v/>
      </c>
      <c r="V111" s="50">
        <f>MAX(0,S111+T111-U111)</f>
        <v/>
      </c>
      <c r="W111" s="48">
        <f>Z110</f>
        <v/>
      </c>
      <c r="X111" s="49">
        <f>IF(W111&gt;0,W111*Plan!$D$28/100/12,0)</f>
        <v/>
      </c>
      <c r="Y111" s="48">
        <f>IF(W111&lt;=0,0,MIN(W111+X111,Plan!$E$28))</f>
        <v/>
      </c>
      <c r="Z111" s="50">
        <f>MAX(0,W111+X111-Y111)</f>
        <v/>
      </c>
      <c r="AA111" s="50">
        <f>F111+J111+N111+R111+V111+Z111</f>
        <v/>
      </c>
    </row>
    <row r="112">
      <c r="A112" s="40" t="n">
        <v>105</v>
      </c>
      <c r="B112" s="41">
        <f>EDATE(Plan!$C$18,104)</f>
        <v/>
      </c>
      <c r="C112" s="42">
        <f>F111</f>
        <v/>
      </c>
      <c r="D112" s="43">
        <f>IF(C112&gt;0,C112*Plan!$D$23/100/12,0)</f>
        <v/>
      </c>
      <c r="E112" s="42">
        <f>IF(C112&lt;=0,0,MIN(C112+D112,Plan!$E$23))</f>
        <v/>
      </c>
      <c r="F112" s="44">
        <f>MAX(0,C112+D112-E112)</f>
        <v/>
      </c>
      <c r="G112" s="42">
        <f>J111</f>
        <v/>
      </c>
      <c r="H112" s="43">
        <f>IF(G112&gt;0,G112*Plan!$D$24/100/12,0)</f>
        <v/>
      </c>
      <c r="I112" s="42">
        <f>IF(G112&lt;=0,0,MIN(G112+H112,Plan!$E$24))</f>
        <v/>
      </c>
      <c r="J112" s="44">
        <f>MAX(0,G112+H112-I112)</f>
        <v/>
      </c>
      <c r="K112" s="42">
        <f>N111</f>
        <v/>
      </c>
      <c r="L112" s="43">
        <f>IF(K112&gt;0,K112*Plan!$D$25/100/12,0)</f>
        <v/>
      </c>
      <c r="M112" s="42">
        <f>IF(K112&lt;=0,0,MIN(K112+L112,Plan!$E$25))</f>
        <v/>
      </c>
      <c r="N112" s="44">
        <f>MAX(0,K112+L112-M112)</f>
        <v/>
      </c>
      <c r="O112" s="42">
        <f>R111</f>
        <v/>
      </c>
      <c r="P112" s="43">
        <f>IF(O112&gt;0,O112*Plan!$D$26/100/12,0)</f>
        <v/>
      </c>
      <c r="Q112" s="42">
        <f>IF(O112&lt;=0,0,MIN(O112+P112,Plan!$E$26))</f>
        <v/>
      </c>
      <c r="R112" s="44">
        <f>MAX(0,O112+P112-Q112)</f>
        <v/>
      </c>
      <c r="S112" s="42">
        <f>V111</f>
        <v/>
      </c>
      <c r="T112" s="43">
        <f>IF(S112&gt;0,S112*Plan!$D$27/100/12,0)</f>
        <v/>
      </c>
      <c r="U112" s="42">
        <f>IF(S112&lt;=0,0,MIN(S112+T112,Plan!$E$27))</f>
        <v/>
      </c>
      <c r="V112" s="44">
        <f>MAX(0,S112+T112-U112)</f>
        <v/>
      </c>
      <c r="W112" s="42">
        <f>Z111</f>
        <v/>
      </c>
      <c r="X112" s="43">
        <f>IF(W112&gt;0,W112*Plan!$D$28/100/12,0)</f>
        <v/>
      </c>
      <c r="Y112" s="42">
        <f>IF(W112&lt;=0,0,MIN(W112+X112,Plan!$E$28))</f>
        <v/>
      </c>
      <c r="Z112" s="44">
        <f>MAX(0,W112+X112-Y112)</f>
        <v/>
      </c>
      <c r="AA112" s="44">
        <f>F112+J112+N112+R112+V112+Z112</f>
        <v/>
      </c>
    </row>
    <row r="113">
      <c r="A113" s="46" t="n">
        <v>106</v>
      </c>
      <c r="B113" s="47">
        <f>EDATE(Plan!$C$18,105)</f>
        <v/>
      </c>
      <c r="C113" s="48">
        <f>F112</f>
        <v/>
      </c>
      <c r="D113" s="49">
        <f>IF(C113&gt;0,C113*Plan!$D$23/100/12,0)</f>
        <v/>
      </c>
      <c r="E113" s="48">
        <f>IF(C113&lt;=0,0,MIN(C113+D113,Plan!$E$23))</f>
        <v/>
      </c>
      <c r="F113" s="50">
        <f>MAX(0,C113+D113-E113)</f>
        <v/>
      </c>
      <c r="G113" s="48">
        <f>J112</f>
        <v/>
      </c>
      <c r="H113" s="49">
        <f>IF(G113&gt;0,G113*Plan!$D$24/100/12,0)</f>
        <v/>
      </c>
      <c r="I113" s="48">
        <f>IF(G113&lt;=0,0,MIN(G113+H113,Plan!$E$24))</f>
        <v/>
      </c>
      <c r="J113" s="50">
        <f>MAX(0,G113+H113-I113)</f>
        <v/>
      </c>
      <c r="K113" s="48">
        <f>N112</f>
        <v/>
      </c>
      <c r="L113" s="49">
        <f>IF(K113&gt;0,K113*Plan!$D$25/100/12,0)</f>
        <v/>
      </c>
      <c r="M113" s="48">
        <f>IF(K113&lt;=0,0,MIN(K113+L113,Plan!$E$25))</f>
        <v/>
      </c>
      <c r="N113" s="50">
        <f>MAX(0,K113+L113-M113)</f>
        <v/>
      </c>
      <c r="O113" s="48">
        <f>R112</f>
        <v/>
      </c>
      <c r="P113" s="49">
        <f>IF(O113&gt;0,O113*Plan!$D$26/100/12,0)</f>
        <v/>
      </c>
      <c r="Q113" s="48">
        <f>IF(O113&lt;=0,0,MIN(O113+P113,Plan!$E$26))</f>
        <v/>
      </c>
      <c r="R113" s="50">
        <f>MAX(0,O113+P113-Q113)</f>
        <v/>
      </c>
      <c r="S113" s="48">
        <f>V112</f>
        <v/>
      </c>
      <c r="T113" s="49">
        <f>IF(S113&gt;0,S113*Plan!$D$27/100/12,0)</f>
        <v/>
      </c>
      <c r="U113" s="48">
        <f>IF(S113&lt;=0,0,MIN(S113+T113,Plan!$E$27))</f>
        <v/>
      </c>
      <c r="V113" s="50">
        <f>MAX(0,S113+T113-U113)</f>
        <v/>
      </c>
      <c r="W113" s="48">
        <f>Z112</f>
        <v/>
      </c>
      <c r="X113" s="49">
        <f>IF(W113&gt;0,W113*Plan!$D$28/100/12,0)</f>
        <v/>
      </c>
      <c r="Y113" s="48">
        <f>IF(W113&lt;=0,0,MIN(W113+X113,Plan!$E$28))</f>
        <v/>
      </c>
      <c r="Z113" s="50">
        <f>MAX(0,W113+X113-Y113)</f>
        <v/>
      </c>
      <c r="AA113" s="50">
        <f>F113+J113+N113+R113+V113+Z113</f>
        <v/>
      </c>
    </row>
    <row r="114">
      <c r="A114" s="40" t="n">
        <v>107</v>
      </c>
      <c r="B114" s="41">
        <f>EDATE(Plan!$C$18,106)</f>
        <v/>
      </c>
      <c r="C114" s="42">
        <f>F113</f>
        <v/>
      </c>
      <c r="D114" s="43">
        <f>IF(C114&gt;0,C114*Plan!$D$23/100/12,0)</f>
        <v/>
      </c>
      <c r="E114" s="42">
        <f>IF(C114&lt;=0,0,MIN(C114+D114,Plan!$E$23))</f>
        <v/>
      </c>
      <c r="F114" s="44">
        <f>MAX(0,C114+D114-E114)</f>
        <v/>
      </c>
      <c r="G114" s="42">
        <f>J113</f>
        <v/>
      </c>
      <c r="H114" s="43">
        <f>IF(G114&gt;0,G114*Plan!$D$24/100/12,0)</f>
        <v/>
      </c>
      <c r="I114" s="42">
        <f>IF(G114&lt;=0,0,MIN(G114+H114,Plan!$E$24))</f>
        <v/>
      </c>
      <c r="J114" s="44">
        <f>MAX(0,G114+H114-I114)</f>
        <v/>
      </c>
      <c r="K114" s="42">
        <f>N113</f>
        <v/>
      </c>
      <c r="L114" s="43">
        <f>IF(K114&gt;0,K114*Plan!$D$25/100/12,0)</f>
        <v/>
      </c>
      <c r="M114" s="42">
        <f>IF(K114&lt;=0,0,MIN(K114+L114,Plan!$E$25))</f>
        <v/>
      </c>
      <c r="N114" s="44">
        <f>MAX(0,K114+L114-M114)</f>
        <v/>
      </c>
      <c r="O114" s="42">
        <f>R113</f>
        <v/>
      </c>
      <c r="P114" s="43">
        <f>IF(O114&gt;0,O114*Plan!$D$26/100/12,0)</f>
        <v/>
      </c>
      <c r="Q114" s="42">
        <f>IF(O114&lt;=0,0,MIN(O114+P114,Plan!$E$26))</f>
        <v/>
      </c>
      <c r="R114" s="44">
        <f>MAX(0,O114+P114-Q114)</f>
        <v/>
      </c>
      <c r="S114" s="42">
        <f>V113</f>
        <v/>
      </c>
      <c r="T114" s="43">
        <f>IF(S114&gt;0,S114*Plan!$D$27/100/12,0)</f>
        <v/>
      </c>
      <c r="U114" s="42">
        <f>IF(S114&lt;=0,0,MIN(S114+T114,Plan!$E$27))</f>
        <v/>
      </c>
      <c r="V114" s="44">
        <f>MAX(0,S114+T114-U114)</f>
        <v/>
      </c>
      <c r="W114" s="42">
        <f>Z113</f>
        <v/>
      </c>
      <c r="X114" s="43">
        <f>IF(W114&gt;0,W114*Plan!$D$28/100/12,0)</f>
        <v/>
      </c>
      <c r="Y114" s="42">
        <f>IF(W114&lt;=0,0,MIN(W114+X114,Plan!$E$28))</f>
        <v/>
      </c>
      <c r="Z114" s="44">
        <f>MAX(0,W114+X114-Y114)</f>
        <v/>
      </c>
      <c r="AA114" s="44">
        <f>F114+J114+N114+R114+V114+Z114</f>
        <v/>
      </c>
    </row>
    <row r="115">
      <c r="A115" s="46" t="n">
        <v>108</v>
      </c>
      <c r="B115" s="47">
        <f>EDATE(Plan!$C$18,107)</f>
        <v/>
      </c>
      <c r="C115" s="48">
        <f>F114</f>
        <v/>
      </c>
      <c r="D115" s="49">
        <f>IF(C115&gt;0,C115*Plan!$D$23/100/12,0)</f>
        <v/>
      </c>
      <c r="E115" s="48">
        <f>IF(C115&lt;=0,0,MIN(C115+D115,Plan!$E$23))</f>
        <v/>
      </c>
      <c r="F115" s="50">
        <f>MAX(0,C115+D115-E115)</f>
        <v/>
      </c>
      <c r="G115" s="48">
        <f>J114</f>
        <v/>
      </c>
      <c r="H115" s="49">
        <f>IF(G115&gt;0,G115*Plan!$D$24/100/12,0)</f>
        <v/>
      </c>
      <c r="I115" s="48">
        <f>IF(G115&lt;=0,0,MIN(G115+H115,Plan!$E$24))</f>
        <v/>
      </c>
      <c r="J115" s="50">
        <f>MAX(0,G115+H115-I115)</f>
        <v/>
      </c>
      <c r="K115" s="48">
        <f>N114</f>
        <v/>
      </c>
      <c r="L115" s="49">
        <f>IF(K115&gt;0,K115*Plan!$D$25/100/12,0)</f>
        <v/>
      </c>
      <c r="M115" s="48">
        <f>IF(K115&lt;=0,0,MIN(K115+L115,Plan!$E$25))</f>
        <v/>
      </c>
      <c r="N115" s="50">
        <f>MAX(0,K115+L115-M115)</f>
        <v/>
      </c>
      <c r="O115" s="48">
        <f>R114</f>
        <v/>
      </c>
      <c r="P115" s="49">
        <f>IF(O115&gt;0,O115*Plan!$D$26/100/12,0)</f>
        <v/>
      </c>
      <c r="Q115" s="48">
        <f>IF(O115&lt;=0,0,MIN(O115+P115,Plan!$E$26))</f>
        <v/>
      </c>
      <c r="R115" s="50">
        <f>MAX(0,O115+P115-Q115)</f>
        <v/>
      </c>
      <c r="S115" s="48">
        <f>V114</f>
        <v/>
      </c>
      <c r="T115" s="49">
        <f>IF(S115&gt;0,S115*Plan!$D$27/100/12,0)</f>
        <v/>
      </c>
      <c r="U115" s="48">
        <f>IF(S115&lt;=0,0,MIN(S115+T115,Plan!$E$27))</f>
        <v/>
      </c>
      <c r="V115" s="50">
        <f>MAX(0,S115+T115-U115)</f>
        <v/>
      </c>
      <c r="W115" s="48">
        <f>Z114</f>
        <v/>
      </c>
      <c r="X115" s="49">
        <f>IF(W115&gt;0,W115*Plan!$D$28/100/12,0)</f>
        <v/>
      </c>
      <c r="Y115" s="48">
        <f>IF(W115&lt;=0,0,MIN(W115+X115,Plan!$E$28))</f>
        <v/>
      </c>
      <c r="Z115" s="50">
        <f>MAX(0,W115+X115-Y115)</f>
        <v/>
      </c>
      <c r="AA115" s="50">
        <f>F115+J115+N115+R115+V115+Z115</f>
        <v/>
      </c>
    </row>
    <row r="116">
      <c r="A116" s="40" t="n">
        <v>109</v>
      </c>
      <c r="B116" s="41">
        <f>EDATE(Plan!$C$18,108)</f>
        <v/>
      </c>
      <c r="C116" s="42">
        <f>F115</f>
        <v/>
      </c>
      <c r="D116" s="43">
        <f>IF(C116&gt;0,C116*Plan!$D$23/100/12,0)</f>
        <v/>
      </c>
      <c r="E116" s="42">
        <f>IF(C116&lt;=0,0,MIN(C116+D116,Plan!$E$23))</f>
        <v/>
      </c>
      <c r="F116" s="44">
        <f>MAX(0,C116+D116-E116)</f>
        <v/>
      </c>
      <c r="G116" s="42">
        <f>J115</f>
        <v/>
      </c>
      <c r="H116" s="43">
        <f>IF(G116&gt;0,G116*Plan!$D$24/100/12,0)</f>
        <v/>
      </c>
      <c r="I116" s="42">
        <f>IF(G116&lt;=0,0,MIN(G116+H116,Plan!$E$24))</f>
        <v/>
      </c>
      <c r="J116" s="44">
        <f>MAX(0,G116+H116-I116)</f>
        <v/>
      </c>
      <c r="K116" s="42">
        <f>N115</f>
        <v/>
      </c>
      <c r="L116" s="43">
        <f>IF(K116&gt;0,K116*Plan!$D$25/100/12,0)</f>
        <v/>
      </c>
      <c r="M116" s="42">
        <f>IF(K116&lt;=0,0,MIN(K116+L116,Plan!$E$25))</f>
        <v/>
      </c>
      <c r="N116" s="44">
        <f>MAX(0,K116+L116-M116)</f>
        <v/>
      </c>
      <c r="O116" s="42">
        <f>R115</f>
        <v/>
      </c>
      <c r="P116" s="43">
        <f>IF(O116&gt;0,O116*Plan!$D$26/100/12,0)</f>
        <v/>
      </c>
      <c r="Q116" s="42">
        <f>IF(O116&lt;=0,0,MIN(O116+P116,Plan!$E$26))</f>
        <v/>
      </c>
      <c r="R116" s="44">
        <f>MAX(0,O116+P116-Q116)</f>
        <v/>
      </c>
      <c r="S116" s="42">
        <f>V115</f>
        <v/>
      </c>
      <c r="T116" s="43">
        <f>IF(S116&gt;0,S116*Plan!$D$27/100/12,0)</f>
        <v/>
      </c>
      <c r="U116" s="42">
        <f>IF(S116&lt;=0,0,MIN(S116+T116,Plan!$E$27))</f>
        <v/>
      </c>
      <c r="V116" s="44">
        <f>MAX(0,S116+T116-U116)</f>
        <v/>
      </c>
      <c r="W116" s="42">
        <f>Z115</f>
        <v/>
      </c>
      <c r="X116" s="43">
        <f>IF(W116&gt;0,W116*Plan!$D$28/100/12,0)</f>
        <v/>
      </c>
      <c r="Y116" s="42">
        <f>IF(W116&lt;=0,0,MIN(W116+X116,Plan!$E$28))</f>
        <v/>
      </c>
      <c r="Z116" s="44">
        <f>MAX(0,W116+X116-Y116)</f>
        <v/>
      </c>
      <c r="AA116" s="44">
        <f>F116+J116+N116+R116+V116+Z116</f>
        <v/>
      </c>
    </row>
    <row r="117">
      <c r="A117" s="46" t="n">
        <v>110</v>
      </c>
      <c r="B117" s="47">
        <f>EDATE(Plan!$C$18,109)</f>
        <v/>
      </c>
      <c r="C117" s="48">
        <f>F116</f>
        <v/>
      </c>
      <c r="D117" s="49">
        <f>IF(C117&gt;0,C117*Plan!$D$23/100/12,0)</f>
        <v/>
      </c>
      <c r="E117" s="48">
        <f>IF(C117&lt;=0,0,MIN(C117+D117,Plan!$E$23))</f>
        <v/>
      </c>
      <c r="F117" s="50">
        <f>MAX(0,C117+D117-E117)</f>
        <v/>
      </c>
      <c r="G117" s="48">
        <f>J116</f>
        <v/>
      </c>
      <c r="H117" s="49">
        <f>IF(G117&gt;0,G117*Plan!$D$24/100/12,0)</f>
        <v/>
      </c>
      <c r="I117" s="48">
        <f>IF(G117&lt;=0,0,MIN(G117+H117,Plan!$E$24))</f>
        <v/>
      </c>
      <c r="J117" s="50">
        <f>MAX(0,G117+H117-I117)</f>
        <v/>
      </c>
      <c r="K117" s="48">
        <f>N116</f>
        <v/>
      </c>
      <c r="L117" s="49">
        <f>IF(K117&gt;0,K117*Plan!$D$25/100/12,0)</f>
        <v/>
      </c>
      <c r="M117" s="48">
        <f>IF(K117&lt;=0,0,MIN(K117+L117,Plan!$E$25))</f>
        <v/>
      </c>
      <c r="N117" s="50">
        <f>MAX(0,K117+L117-M117)</f>
        <v/>
      </c>
      <c r="O117" s="48">
        <f>R116</f>
        <v/>
      </c>
      <c r="P117" s="49">
        <f>IF(O117&gt;0,O117*Plan!$D$26/100/12,0)</f>
        <v/>
      </c>
      <c r="Q117" s="48">
        <f>IF(O117&lt;=0,0,MIN(O117+P117,Plan!$E$26))</f>
        <v/>
      </c>
      <c r="R117" s="50">
        <f>MAX(0,O117+P117-Q117)</f>
        <v/>
      </c>
      <c r="S117" s="48">
        <f>V116</f>
        <v/>
      </c>
      <c r="T117" s="49">
        <f>IF(S117&gt;0,S117*Plan!$D$27/100/12,0)</f>
        <v/>
      </c>
      <c r="U117" s="48">
        <f>IF(S117&lt;=0,0,MIN(S117+T117,Plan!$E$27))</f>
        <v/>
      </c>
      <c r="V117" s="50">
        <f>MAX(0,S117+T117-U117)</f>
        <v/>
      </c>
      <c r="W117" s="48">
        <f>Z116</f>
        <v/>
      </c>
      <c r="X117" s="49">
        <f>IF(W117&gt;0,W117*Plan!$D$28/100/12,0)</f>
        <v/>
      </c>
      <c r="Y117" s="48">
        <f>IF(W117&lt;=0,0,MIN(W117+X117,Plan!$E$28))</f>
        <v/>
      </c>
      <c r="Z117" s="50">
        <f>MAX(0,W117+X117-Y117)</f>
        <v/>
      </c>
      <c r="AA117" s="50">
        <f>F117+J117+N117+R117+V117+Z117</f>
        <v/>
      </c>
    </row>
    <row r="118">
      <c r="A118" s="40" t="n">
        <v>111</v>
      </c>
      <c r="B118" s="41">
        <f>EDATE(Plan!$C$18,110)</f>
        <v/>
      </c>
      <c r="C118" s="42">
        <f>F117</f>
        <v/>
      </c>
      <c r="D118" s="43">
        <f>IF(C118&gt;0,C118*Plan!$D$23/100/12,0)</f>
        <v/>
      </c>
      <c r="E118" s="42">
        <f>IF(C118&lt;=0,0,MIN(C118+D118,Plan!$E$23))</f>
        <v/>
      </c>
      <c r="F118" s="44">
        <f>MAX(0,C118+D118-E118)</f>
        <v/>
      </c>
      <c r="G118" s="42">
        <f>J117</f>
        <v/>
      </c>
      <c r="H118" s="43">
        <f>IF(G118&gt;0,G118*Plan!$D$24/100/12,0)</f>
        <v/>
      </c>
      <c r="I118" s="42">
        <f>IF(G118&lt;=0,0,MIN(G118+H118,Plan!$E$24))</f>
        <v/>
      </c>
      <c r="J118" s="44">
        <f>MAX(0,G118+H118-I118)</f>
        <v/>
      </c>
      <c r="K118" s="42">
        <f>N117</f>
        <v/>
      </c>
      <c r="L118" s="43">
        <f>IF(K118&gt;0,K118*Plan!$D$25/100/12,0)</f>
        <v/>
      </c>
      <c r="M118" s="42">
        <f>IF(K118&lt;=0,0,MIN(K118+L118,Plan!$E$25))</f>
        <v/>
      </c>
      <c r="N118" s="44">
        <f>MAX(0,K118+L118-M118)</f>
        <v/>
      </c>
      <c r="O118" s="42">
        <f>R117</f>
        <v/>
      </c>
      <c r="P118" s="43">
        <f>IF(O118&gt;0,O118*Plan!$D$26/100/12,0)</f>
        <v/>
      </c>
      <c r="Q118" s="42">
        <f>IF(O118&lt;=0,0,MIN(O118+P118,Plan!$E$26))</f>
        <v/>
      </c>
      <c r="R118" s="44">
        <f>MAX(0,O118+P118-Q118)</f>
        <v/>
      </c>
      <c r="S118" s="42">
        <f>V117</f>
        <v/>
      </c>
      <c r="T118" s="43">
        <f>IF(S118&gt;0,S118*Plan!$D$27/100/12,0)</f>
        <v/>
      </c>
      <c r="U118" s="42">
        <f>IF(S118&lt;=0,0,MIN(S118+T118,Plan!$E$27))</f>
        <v/>
      </c>
      <c r="V118" s="44">
        <f>MAX(0,S118+T118-U118)</f>
        <v/>
      </c>
      <c r="W118" s="42">
        <f>Z117</f>
        <v/>
      </c>
      <c r="X118" s="43">
        <f>IF(W118&gt;0,W118*Plan!$D$28/100/12,0)</f>
        <v/>
      </c>
      <c r="Y118" s="42">
        <f>IF(W118&lt;=0,0,MIN(W118+X118,Plan!$E$28))</f>
        <v/>
      </c>
      <c r="Z118" s="44">
        <f>MAX(0,W118+X118-Y118)</f>
        <v/>
      </c>
      <c r="AA118" s="44">
        <f>F118+J118+N118+R118+V118+Z118</f>
        <v/>
      </c>
    </row>
    <row r="119">
      <c r="A119" s="46" t="n">
        <v>112</v>
      </c>
      <c r="B119" s="47">
        <f>EDATE(Plan!$C$18,111)</f>
        <v/>
      </c>
      <c r="C119" s="48">
        <f>F118</f>
        <v/>
      </c>
      <c r="D119" s="49">
        <f>IF(C119&gt;0,C119*Plan!$D$23/100/12,0)</f>
        <v/>
      </c>
      <c r="E119" s="48">
        <f>IF(C119&lt;=0,0,MIN(C119+D119,Plan!$E$23))</f>
        <v/>
      </c>
      <c r="F119" s="50">
        <f>MAX(0,C119+D119-E119)</f>
        <v/>
      </c>
      <c r="G119" s="48">
        <f>J118</f>
        <v/>
      </c>
      <c r="H119" s="49">
        <f>IF(G119&gt;0,G119*Plan!$D$24/100/12,0)</f>
        <v/>
      </c>
      <c r="I119" s="48">
        <f>IF(G119&lt;=0,0,MIN(G119+H119,Plan!$E$24))</f>
        <v/>
      </c>
      <c r="J119" s="50">
        <f>MAX(0,G119+H119-I119)</f>
        <v/>
      </c>
      <c r="K119" s="48">
        <f>N118</f>
        <v/>
      </c>
      <c r="L119" s="49">
        <f>IF(K119&gt;0,K119*Plan!$D$25/100/12,0)</f>
        <v/>
      </c>
      <c r="M119" s="48">
        <f>IF(K119&lt;=0,0,MIN(K119+L119,Plan!$E$25))</f>
        <v/>
      </c>
      <c r="N119" s="50">
        <f>MAX(0,K119+L119-M119)</f>
        <v/>
      </c>
      <c r="O119" s="48">
        <f>R118</f>
        <v/>
      </c>
      <c r="P119" s="49">
        <f>IF(O119&gt;0,O119*Plan!$D$26/100/12,0)</f>
        <v/>
      </c>
      <c r="Q119" s="48">
        <f>IF(O119&lt;=0,0,MIN(O119+P119,Plan!$E$26))</f>
        <v/>
      </c>
      <c r="R119" s="50">
        <f>MAX(0,O119+P119-Q119)</f>
        <v/>
      </c>
      <c r="S119" s="48">
        <f>V118</f>
        <v/>
      </c>
      <c r="T119" s="49">
        <f>IF(S119&gt;0,S119*Plan!$D$27/100/12,0)</f>
        <v/>
      </c>
      <c r="U119" s="48">
        <f>IF(S119&lt;=0,0,MIN(S119+T119,Plan!$E$27))</f>
        <v/>
      </c>
      <c r="V119" s="50">
        <f>MAX(0,S119+T119-U119)</f>
        <v/>
      </c>
      <c r="W119" s="48">
        <f>Z118</f>
        <v/>
      </c>
      <c r="X119" s="49">
        <f>IF(W119&gt;0,W119*Plan!$D$28/100/12,0)</f>
        <v/>
      </c>
      <c r="Y119" s="48">
        <f>IF(W119&lt;=0,0,MIN(W119+X119,Plan!$E$28))</f>
        <v/>
      </c>
      <c r="Z119" s="50">
        <f>MAX(0,W119+X119-Y119)</f>
        <v/>
      </c>
      <c r="AA119" s="50">
        <f>F119+J119+N119+R119+V119+Z119</f>
        <v/>
      </c>
    </row>
    <row r="120">
      <c r="A120" s="40" t="n">
        <v>113</v>
      </c>
      <c r="B120" s="41">
        <f>EDATE(Plan!$C$18,112)</f>
        <v/>
      </c>
      <c r="C120" s="42">
        <f>F119</f>
        <v/>
      </c>
      <c r="D120" s="43">
        <f>IF(C120&gt;0,C120*Plan!$D$23/100/12,0)</f>
        <v/>
      </c>
      <c r="E120" s="42">
        <f>IF(C120&lt;=0,0,MIN(C120+D120,Plan!$E$23))</f>
        <v/>
      </c>
      <c r="F120" s="44">
        <f>MAX(0,C120+D120-E120)</f>
        <v/>
      </c>
      <c r="G120" s="42">
        <f>J119</f>
        <v/>
      </c>
      <c r="H120" s="43">
        <f>IF(G120&gt;0,G120*Plan!$D$24/100/12,0)</f>
        <v/>
      </c>
      <c r="I120" s="42">
        <f>IF(G120&lt;=0,0,MIN(G120+H120,Plan!$E$24))</f>
        <v/>
      </c>
      <c r="J120" s="44">
        <f>MAX(0,G120+H120-I120)</f>
        <v/>
      </c>
      <c r="K120" s="42">
        <f>N119</f>
        <v/>
      </c>
      <c r="L120" s="43">
        <f>IF(K120&gt;0,K120*Plan!$D$25/100/12,0)</f>
        <v/>
      </c>
      <c r="M120" s="42">
        <f>IF(K120&lt;=0,0,MIN(K120+L120,Plan!$E$25))</f>
        <v/>
      </c>
      <c r="N120" s="44">
        <f>MAX(0,K120+L120-M120)</f>
        <v/>
      </c>
      <c r="O120" s="42">
        <f>R119</f>
        <v/>
      </c>
      <c r="P120" s="43">
        <f>IF(O120&gt;0,O120*Plan!$D$26/100/12,0)</f>
        <v/>
      </c>
      <c r="Q120" s="42">
        <f>IF(O120&lt;=0,0,MIN(O120+P120,Plan!$E$26))</f>
        <v/>
      </c>
      <c r="R120" s="44">
        <f>MAX(0,O120+P120-Q120)</f>
        <v/>
      </c>
      <c r="S120" s="42">
        <f>V119</f>
        <v/>
      </c>
      <c r="T120" s="43">
        <f>IF(S120&gt;0,S120*Plan!$D$27/100/12,0)</f>
        <v/>
      </c>
      <c r="U120" s="42">
        <f>IF(S120&lt;=0,0,MIN(S120+T120,Plan!$E$27))</f>
        <v/>
      </c>
      <c r="V120" s="44">
        <f>MAX(0,S120+T120-U120)</f>
        <v/>
      </c>
      <c r="W120" s="42">
        <f>Z119</f>
        <v/>
      </c>
      <c r="X120" s="43">
        <f>IF(W120&gt;0,W120*Plan!$D$28/100/12,0)</f>
        <v/>
      </c>
      <c r="Y120" s="42">
        <f>IF(W120&lt;=0,0,MIN(W120+X120,Plan!$E$28))</f>
        <v/>
      </c>
      <c r="Z120" s="44">
        <f>MAX(0,W120+X120-Y120)</f>
        <v/>
      </c>
      <c r="AA120" s="44">
        <f>F120+J120+N120+R120+V120+Z120</f>
        <v/>
      </c>
    </row>
    <row r="121">
      <c r="A121" s="46" t="n">
        <v>114</v>
      </c>
      <c r="B121" s="47">
        <f>EDATE(Plan!$C$18,113)</f>
        <v/>
      </c>
      <c r="C121" s="48">
        <f>F120</f>
        <v/>
      </c>
      <c r="D121" s="49">
        <f>IF(C121&gt;0,C121*Plan!$D$23/100/12,0)</f>
        <v/>
      </c>
      <c r="E121" s="48">
        <f>IF(C121&lt;=0,0,MIN(C121+D121,Plan!$E$23))</f>
        <v/>
      </c>
      <c r="F121" s="50">
        <f>MAX(0,C121+D121-E121)</f>
        <v/>
      </c>
      <c r="G121" s="48">
        <f>J120</f>
        <v/>
      </c>
      <c r="H121" s="49">
        <f>IF(G121&gt;0,G121*Plan!$D$24/100/12,0)</f>
        <v/>
      </c>
      <c r="I121" s="48">
        <f>IF(G121&lt;=0,0,MIN(G121+H121,Plan!$E$24))</f>
        <v/>
      </c>
      <c r="J121" s="50">
        <f>MAX(0,G121+H121-I121)</f>
        <v/>
      </c>
      <c r="K121" s="48">
        <f>N120</f>
        <v/>
      </c>
      <c r="L121" s="49">
        <f>IF(K121&gt;0,K121*Plan!$D$25/100/12,0)</f>
        <v/>
      </c>
      <c r="M121" s="48">
        <f>IF(K121&lt;=0,0,MIN(K121+L121,Plan!$E$25))</f>
        <v/>
      </c>
      <c r="N121" s="50">
        <f>MAX(0,K121+L121-M121)</f>
        <v/>
      </c>
      <c r="O121" s="48">
        <f>R120</f>
        <v/>
      </c>
      <c r="P121" s="49">
        <f>IF(O121&gt;0,O121*Plan!$D$26/100/12,0)</f>
        <v/>
      </c>
      <c r="Q121" s="48">
        <f>IF(O121&lt;=0,0,MIN(O121+P121,Plan!$E$26))</f>
        <v/>
      </c>
      <c r="R121" s="50">
        <f>MAX(0,O121+P121-Q121)</f>
        <v/>
      </c>
      <c r="S121" s="48">
        <f>V120</f>
        <v/>
      </c>
      <c r="T121" s="49">
        <f>IF(S121&gt;0,S121*Plan!$D$27/100/12,0)</f>
        <v/>
      </c>
      <c r="U121" s="48">
        <f>IF(S121&lt;=0,0,MIN(S121+T121,Plan!$E$27))</f>
        <v/>
      </c>
      <c r="V121" s="50">
        <f>MAX(0,S121+T121-U121)</f>
        <v/>
      </c>
      <c r="W121" s="48">
        <f>Z120</f>
        <v/>
      </c>
      <c r="X121" s="49">
        <f>IF(W121&gt;0,W121*Plan!$D$28/100/12,0)</f>
        <v/>
      </c>
      <c r="Y121" s="48">
        <f>IF(W121&lt;=0,0,MIN(W121+X121,Plan!$E$28))</f>
        <v/>
      </c>
      <c r="Z121" s="50">
        <f>MAX(0,W121+X121-Y121)</f>
        <v/>
      </c>
      <c r="AA121" s="50">
        <f>F121+J121+N121+R121+V121+Z121</f>
        <v/>
      </c>
    </row>
    <row r="122">
      <c r="A122" s="40" t="n">
        <v>115</v>
      </c>
      <c r="B122" s="41">
        <f>EDATE(Plan!$C$18,114)</f>
        <v/>
      </c>
      <c r="C122" s="42">
        <f>F121</f>
        <v/>
      </c>
      <c r="D122" s="43">
        <f>IF(C122&gt;0,C122*Plan!$D$23/100/12,0)</f>
        <v/>
      </c>
      <c r="E122" s="42">
        <f>IF(C122&lt;=0,0,MIN(C122+D122,Plan!$E$23))</f>
        <v/>
      </c>
      <c r="F122" s="44">
        <f>MAX(0,C122+D122-E122)</f>
        <v/>
      </c>
      <c r="G122" s="42">
        <f>J121</f>
        <v/>
      </c>
      <c r="H122" s="43">
        <f>IF(G122&gt;0,G122*Plan!$D$24/100/12,0)</f>
        <v/>
      </c>
      <c r="I122" s="42">
        <f>IF(G122&lt;=0,0,MIN(G122+H122,Plan!$E$24))</f>
        <v/>
      </c>
      <c r="J122" s="44">
        <f>MAX(0,G122+H122-I122)</f>
        <v/>
      </c>
      <c r="K122" s="42">
        <f>N121</f>
        <v/>
      </c>
      <c r="L122" s="43">
        <f>IF(K122&gt;0,K122*Plan!$D$25/100/12,0)</f>
        <v/>
      </c>
      <c r="M122" s="42">
        <f>IF(K122&lt;=0,0,MIN(K122+L122,Plan!$E$25))</f>
        <v/>
      </c>
      <c r="N122" s="44">
        <f>MAX(0,K122+L122-M122)</f>
        <v/>
      </c>
      <c r="O122" s="42">
        <f>R121</f>
        <v/>
      </c>
      <c r="P122" s="43">
        <f>IF(O122&gt;0,O122*Plan!$D$26/100/12,0)</f>
        <v/>
      </c>
      <c r="Q122" s="42">
        <f>IF(O122&lt;=0,0,MIN(O122+P122,Plan!$E$26))</f>
        <v/>
      </c>
      <c r="R122" s="44">
        <f>MAX(0,O122+P122-Q122)</f>
        <v/>
      </c>
      <c r="S122" s="42">
        <f>V121</f>
        <v/>
      </c>
      <c r="T122" s="43">
        <f>IF(S122&gt;0,S122*Plan!$D$27/100/12,0)</f>
        <v/>
      </c>
      <c r="U122" s="42">
        <f>IF(S122&lt;=0,0,MIN(S122+T122,Plan!$E$27))</f>
        <v/>
      </c>
      <c r="V122" s="44">
        <f>MAX(0,S122+T122-U122)</f>
        <v/>
      </c>
      <c r="W122" s="42">
        <f>Z121</f>
        <v/>
      </c>
      <c r="X122" s="43">
        <f>IF(W122&gt;0,W122*Plan!$D$28/100/12,0)</f>
        <v/>
      </c>
      <c r="Y122" s="42">
        <f>IF(W122&lt;=0,0,MIN(W122+X122,Plan!$E$28))</f>
        <v/>
      </c>
      <c r="Z122" s="44">
        <f>MAX(0,W122+X122-Y122)</f>
        <v/>
      </c>
      <c r="AA122" s="44">
        <f>F122+J122+N122+R122+V122+Z122</f>
        <v/>
      </c>
    </row>
    <row r="123">
      <c r="A123" s="46" t="n">
        <v>116</v>
      </c>
      <c r="B123" s="47">
        <f>EDATE(Plan!$C$18,115)</f>
        <v/>
      </c>
      <c r="C123" s="48">
        <f>F122</f>
        <v/>
      </c>
      <c r="D123" s="49">
        <f>IF(C123&gt;0,C123*Plan!$D$23/100/12,0)</f>
        <v/>
      </c>
      <c r="E123" s="48">
        <f>IF(C123&lt;=0,0,MIN(C123+D123,Plan!$E$23))</f>
        <v/>
      </c>
      <c r="F123" s="50">
        <f>MAX(0,C123+D123-E123)</f>
        <v/>
      </c>
      <c r="G123" s="48">
        <f>J122</f>
        <v/>
      </c>
      <c r="H123" s="49">
        <f>IF(G123&gt;0,G123*Plan!$D$24/100/12,0)</f>
        <v/>
      </c>
      <c r="I123" s="48">
        <f>IF(G123&lt;=0,0,MIN(G123+H123,Plan!$E$24))</f>
        <v/>
      </c>
      <c r="J123" s="50">
        <f>MAX(0,G123+H123-I123)</f>
        <v/>
      </c>
      <c r="K123" s="48">
        <f>N122</f>
        <v/>
      </c>
      <c r="L123" s="49">
        <f>IF(K123&gt;0,K123*Plan!$D$25/100/12,0)</f>
        <v/>
      </c>
      <c r="M123" s="48">
        <f>IF(K123&lt;=0,0,MIN(K123+L123,Plan!$E$25))</f>
        <v/>
      </c>
      <c r="N123" s="50">
        <f>MAX(0,K123+L123-M123)</f>
        <v/>
      </c>
      <c r="O123" s="48">
        <f>R122</f>
        <v/>
      </c>
      <c r="P123" s="49">
        <f>IF(O123&gt;0,O123*Plan!$D$26/100/12,0)</f>
        <v/>
      </c>
      <c r="Q123" s="48">
        <f>IF(O123&lt;=0,0,MIN(O123+P123,Plan!$E$26))</f>
        <v/>
      </c>
      <c r="R123" s="50">
        <f>MAX(0,O123+P123-Q123)</f>
        <v/>
      </c>
      <c r="S123" s="48">
        <f>V122</f>
        <v/>
      </c>
      <c r="T123" s="49">
        <f>IF(S123&gt;0,S123*Plan!$D$27/100/12,0)</f>
        <v/>
      </c>
      <c r="U123" s="48">
        <f>IF(S123&lt;=0,0,MIN(S123+T123,Plan!$E$27))</f>
        <v/>
      </c>
      <c r="V123" s="50">
        <f>MAX(0,S123+T123-U123)</f>
        <v/>
      </c>
      <c r="W123" s="48">
        <f>Z122</f>
        <v/>
      </c>
      <c r="X123" s="49">
        <f>IF(W123&gt;0,W123*Plan!$D$28/100/12,0)</f>
        <v/>
      </c>
      <c r="Y123" s="48">
        <f>IF(W123&lt;=0,0,MIN(W123+X123,Plan!$E$28))</f>
        <v/>
      </c>
      <c r="Z123" s="50">
        <f>MAX(0,W123+X123-Y123)</f>
        <v/>
      </c>
      <c r="AA123" s="50">
        <f>F123+J123+N123+R123+V123+Z123</f>
        <v/>
      </c>
    </row>
    <row r="124">
      <c r="A124" s="40" t="n">
        <v>117</v>
      </c>
      <c r="B124" s="41">
        <f>EDATE(Plan!$C$18,116)</f>
        <v/>
      </c>
      <c r="C124" s="42">
        <f>F123</f>
        <v/>
      </c>
      <c r="D124" s="43">
        <f>IF(C124&gt;0,C124*Plan!$D$23/100/12,0)</f>
        <v/>
      </c>
      <c r="E124" s="42">
        <f>IF(C124&lt;=0,0,MIN(C124+D124,Plan!$E$23))</f>
        <v/>
      </c>
      <c r="F124" s="44">
        <f>MAX(0,C124+D124-E124)</f>
        <v/>
      </c>
      <c r="G124" s="42">
        <f>J123</f>
        <v/>
      </c>
      <c r="H124" s="43">
        <f>IF(G124&gt;0,G124*Plan!$D$24/100/12,0)</f>
        <v/>
      </c>
      <c r="I124" s="42">
        <f>IF(G124&lt;=0,0,MIN(G124+H124,Plan!$E$24))</f>
        <v/>
      </c>
      <c r="J124" s="44">
        <f>MAX(0,G124+H124-I124)</f>
        <v/>
      </c>
      <c r="K124" s="42">
        <f>N123</f>
        <v/>
      </c>
      <c r="L124" s="43">
        <f>IF(K124&gt;0,K124*Plan!$D$25/100/12,0)</f>
        <v/>
      </c>
      <c r="M124" s="42">
        <f>IF(K124&lt;=0,0,MIN(K124+L124,Plan!$E$25))</f>
        <v/>
      </c>
      <c r="N124" s="44">
        <f>MAX(0,K124+L124-M124)</f>
        <v/>
      </c>
      <c r="O124" s="42">
        <f>R123</f>
        <v/>
      </c>
      <c r="P124" s="43">
        <f>IF(O124&gt;0,O124*Plan!$D$26/100/12,0)</f>
        <v/>
      </c>
      <c r="Q124" s="42">
        <f>IF(O124&lt;=0,0,MIN(O124+P124,Plan!$E$26))</f>
        <v/>
      </c>
      <c r="R124" s="44">
        <f>MAX(0,O124+P124-Q124)</f>
        <v/>
      </c>
      <c r="S124" s="42">
        <f>V123</f>
        <v/>
      </c>
      <c r="T124" s="43">
        <f>IF(S124&gt;0,S124*Plan!$D$27/100/12,0)</f>
        <v/>
      </c>
      <c r="U124" s="42">
        <f>IF(S124&lt;=0,0,MIN(S124+T124,Plan!$E$27))</f>
        <v/>
      </c>
      <c r="V124" s="44">
        <f>MAX(0,S124+T124-U124)</f>
        <v/>
      </c>
      <c r="W124" s="42">
        <f>Z123</f>
        <v/>
      </c>
      <c r="X124" s="43">
        <f>IF(W124&gt;0,W124*Plan!$D$28/100/12,0)</f>
        <v/>
      </c>
      <c r="Y124" s="42">
        <f>IF(W124&lt;=0,0,MIN(W124+X124,Plan!$E$28))</f>
        <v/>
      </c>
      <c r="Z124" s="44">
        <f>MAX(0,W124+X124-Y124)</f>
        <v/>
      </c>
      <c r="AA124" s="44">
        <f>F124+J124+N124+R124+V124+Z124</f>
        <v/>
      </c>
    </row>
    <row r="125">
      <c r="A125" s="46" t="n">
        <v>118</v>
      </c>
      <c r="B125" s="47">
        <f>EDATE(Plan!$C$18,117)</f>
        <v/>
      </c>
      <c r="C125" s="48">
        <f>F124</f>
        <v/>
      </c>
      <c r="D125" s="49">
        <f>IF(C125&gt;0,C125*Plan!$D$23/100/12,0)</f>
        <v/>
      </c>
      <c r="E125" s="48">
        <f>IF(C125&lt;=0,0,MIN(C125+D125,Plan!$E$23))</f>
        <v/>
      </c>
      <c r="F125" s="50">
        <f>MAX(0,C125+D125-E125)</f>
        <v/>
      </c>
      <c r="G125" s="48">
        <f>J124</f>
        <v/>
      </c>
      <c r="H125" s="49">
        <f>IF(G125&gt;0,G125*Plan!$D$24/100/12,0)</f>
        <v/>
      </c>
      <c r="I125" s="48">
        <f>IF(G125&lt;=0,0,MIN(G125+H125,Plan!$E$24))</f>
        <v/>
      </c>
      <c r="J125" s="50">
        <f>MAX(0,G125+H125-I125)</f>
        <v/>
      </c>
      <c r="K125" s="48">
        <f>N124</f>
        <v/>
      </c>
      <c r="L125" s="49">
        <f>IF(K125&gt;0,K125*Plan!$D$25/100/12,0)</f>
        <v/>
      </c>
      <c r="M125" s="48">
        <f>IF(K125&lt;=0,0,MIN(K125+L125,Plan!$E$25))</f>
        <v/>
      </c>
      <c r="N125" s="50">
        <f>MAX(0,K125+L125-M125)</f>
        <v/>
      </c>
      <c r="O125" s="48">
        <f>R124</f>
        <v/>
      </c>
      <c r="P125" s="49">
        <f>IF(O125&gt;0,O125*Plan!$D$26/100/12,0)</f>
        <v/>
      </c>
      <c r="Q125" s="48">
        <f>IF(O125&lt;=0,0,MIN(O125+P125,Plan!$E$26))</f>
        <v/>
      </c>
      <c r="R125" s="50">
        <f>MAX(0,O125+P125-Q125)</f>
        <v/>
      </c>
      <c r="S125" s="48">
        <f>V124</f>
        <v/>
      </c>
      <c r="T125" s="49">
        <f>IF(S125&gt;0,S125*Plan!$D$27/100/12,0)</f>
        <v/>
      </c>
      <c r="U125" s="48">
        <f>IF(S125&lt;=0,0,MIN(S125+T125,Plan!$E$27))</f>
        <v/>
      </c>
      <c r="V125" s="50">
        <f>MAX(0,S125+T125-U125)</f>
        <v/>
      </c>
      <c r="W125" s="48">
        <f>Z124</f>
        <v/>
      </c>
      <c r="X125" s="49">
        <f>IF(W125&gt;0,W125*Plan!$D$28/100/12,0)</f>
        <v/>
      </c>
      <c r="Y125" s="48">
        <f>IF(W125&lt;=0,0,MIN(W125+X125,Plan!$E$28))</f>
        <v/>
      </c>
      <c r="Z125" s="50">
        <f>MAX(0,W125+X125-Y125)</f>
        <v/>
      </c>
      <c r="AA125" s="50">
        <f>F125+J125+N125+R125+V125+Z125</f>
        <v/>
      </c>
    </row>
    <row r="126">
      <c r="A126" s="40" t="n">
        <v>119</v>
      </c>
      <c r="B126" s="41">
        <f>EDATE(Plan!$C$18,118)</f>
        <v/>
      </c>
      <c r="C126" s="42">
        <f>F125</f>
        <v/>
      </c>
      <c r="D126" s="43">
        <f>IF(C126&gt;0,C126*Plan!$D$23/100/12,0)</f>
        <v/>
      </c>
      <c r="E126" s="42">
        <f>IF(C126&lt;=0,0,MIN(C126+D126,Plan!$E$23))</f>
        <v/>
      </c>
      <c r="F126" s="44">
        <f>MAX(0,C126+D126-E126)</f>
        <v/>
      </c>
      <c r="G126" s="42">
        <f>J125</f>
        <v/>
      </c>
      <c r="H126" s="43">
        <f>IF(G126&gt;0,G126*Plan!$D$24/100/12,0)</f>
        <v/>
      </c>
      <c r="I126" s="42">
        <f>IF(G126&lt;=0,0,MIN(G126+H126,Plan!$E$24))</f>
        <v/>
      </c>
      <c r="J126" s="44">
        <f>MAX(0,G126+H126-I126)</f>
        <v/>
      </c>
      <c r="K126" s="42">
        <f>N125</f>
        <v/>
      </c>
      <c r="L126" s="43">
        <f>IF(K126&gt;0,K126*Plan!$D$25/100/12,0)</f>
        <v/>
      </c>
      <c r="M126" s="42">
        <f>IF(K126&lt;=0,0,MIN(K126+L126,Plan!$E$25))</f>
        <v/>
      </c>
      <c r="N126" s="44">
        <f>MAX(0,K126+L126-M126)</f>
        <v/>
      </c>
      <c r="O126" s="42">
        <f>R125</f>
        <v/>
      </c>
      <c r="P126" s="43">
        <f>IF(O126&gt;0,O126*Plan!$D$26/100/12,0)</f>
        <v/>
      </c>
      <c r="Q126" s="42">
        <f>IF(O126&lt;=0,0,MIN(O126+P126,Plan!$E$26))</f>
        <v/>
      </c>
      <c r="R126" s="44">
        <f>MAX(0,O126+P126-Q126)</f>
        <v/>
      </c>
      <c r="S126" s="42">
        <f>V125</f>
        <v/>
      </c>
      <c r="T126" s="43">
        <f>IF(S126&gt;0,S126*Plan!$D$27/100/12,0)</f>
        <v/>
      </c>
      <c r="U126" s="42">
        <f>IF(S126&lt;=0,0,MIN(S126+T126,Plan!$E$27))</f>
        <v/>
      </c>
      <c r="V126" s="44">
        <f>MAX(0,S126+T126-U126)</f>
        <v/>
      </c>
      <c r="W126" s="42">
        <f>Z125</f>
        <v/>
      </c>
      <c r="X126" s="43">
        <f>IF(W126&gt;0,W126*Plan!$D$28/100/12,0)</f>
        <v/>
      </c>
      <c r="Y126" s="42">
        <f>IF(W126&lt;=0,0,MIN(W126+X126,Plan!$E$28))</f>
        <v/>
      </c>
      <c r="Z126" s="44">
        <f>MAX(0,W126+X126-Y126)</f>
        <v/>
      </c>
      <c r="AA126" s="44">
        <f>F126+J126+N126+R126+V126+Z126</f>
        <v/>
      </c>
    </row>
    <row r="127">
      <c r="A127" s="46" t="n">
        <v>120</v>
      </c>
      <c r="B127" s="47">
        <f>EDATE(Plan!$C$18,119)</f>
        <v/>
      </c>
      <c r="C127" s="48">
        <f>F126</f>
        <v/>
      </c>
      <c r="D127" s="49">
        <f>IF(C127&gt;0,C127*Plan!$D$23/100/12,0)</f>
        <v/>
      </c>
      <c r="E127" s="48">
        <f>IF(C127&lt;=0,0,MIN(C127+D127,Plan!$E$23))</f>
        <v/>
      </c>
      <c r="F127" s="50">
        <f>MAX(0,C127+D127-E127)</f>
        <v/>
      </c>
      <c r="G127" s="48">
        <f>J126</f>
        <v/>
      </c>
      <c r="H127" s="49">
        <f>IF(G127&gt;0,G127*Plan!$D$24/100/12,0)</f>
        <v/>
      </c>
      <c r="I127" s="48">
        <f>IF(G127&lt;=0,0,MIN(G127+H127,Plan!$E$24))</f>
        <v/>
      </c>
      <c r="J127" s="50">
        <f>MAX(0,G127+H127-I127)</f>
        <v/>
      </c>
      <c r="K127" s="48">
        <f>N126</f>
        <v/>
      </c>
      <c r="L127" s="49">
        <f>IF(K127&gt;0,K127*Plan!$D$25/100/12,0)</f>
        <v/>
      </c>
      <c r="M127" s="48">
        <f>IF(K127&lt;=0,0,MIN(K127+L127,Plan!$E$25))</f>
        <v/>
      </c>
      <c r="N127" s="50">
        <f>MAX(0,K127+L127-M127)</f>
        <v/>
      </c>
      <c r="O127" s="48">
        <f>R126</f>
        <v/>
      </c>
      <c r="P127" s="49">
        <f>IF(O127&gt;0,O127*Plan!$D$26/100/12,0)</f>
        <v/>
      </c>
      <c r="Q127" s="48">
        <f>IF(O127&lt;=0,0,MIN(O127+P127,Plan!$E$26))</f>
        <v/>
      </c>
      <c r="R127" s="50">
        <f>MAX(0,O127+P127-Q127)</f>
        <v/>
      </c>
      <c r="S127" s="48">
        <f>V126</f>
        <v/>
      </c>
      <c r="T127" s="49">
        <f>IF(S127&gt;0,S127*Plan!$D$27/100/12,0)</f>
        <v/>
      </c>
      <c r="U127" s="48">
        <f>IF(S127&lt;=0,0,MIN(S127+T127,Plan!$E$27))</f>
        <v/>
      </c>
      <c r="V127" s="50">
        <f>MAX(0,S127+T127-U127)</f>
        <v/>
      </c>
      <c r="W127" s="48">
        <f>Z126</f>
        <v/>
      </c>
      <c r="X127" s="49">
        <f>IF(W127&gt;0,W127*Plan!$D$28/100/12,0)</f>
        <v/>
      </c>
      <c r="Y127" s="48">
        <f>IF(W127&lt;=0,0,MIN(W127+X127,Plan!$E$28))</f>
        <v/>
      </c>
      <c r="Z127" s="50">
        <f>MAX(0,W127+X127-Y127)</f>
        <v/>
      </c>
      <c r="AA127" s="50">
        <f>F127+J127+N127+R127+V127+Z127</f>
        <v/>
      </c>
    </row>
    <row r="128">
      <c r="A128" s="40" t="n">
        <v>121</v>
      </c>
      <c r="B128" s="41">
        <f>EDATE(Plan!$C$18,120)</f>
        <v/>
      </c>
      <c r="C128" s="42">
        <f>F127</f>
        <v/>
      </c>
      <c r="D128" s="43">
        <f>IF(C128&gt;0,C128*Plan!$D$23/100/12,0)</f>
        <v/>
      </c>
      <c r="E128" s="42">
        <f>IF(C128&lt;=0,0,MIN(C128+D128,Plan!$E$23))</f>
        <v/>
      </c>
      <c r="F128" s="44">
        <f>MAX(0,C128+D128-E128)</f>
        <v/>
      </c>
      <c r="G128" s="42">
        <f>J127</f>
        <v/>
      </c>
      <c r="H128" s="43">
        <f>IF(G128&gt;0,G128*Plan!$D$24/100/12,0)</f>
        <v/>
      </c>
      <c r="I128" s="42">
        <f>IF(G128&lt;=0,0,MIN(G128+H128,Plan!$E$24))</f>
        <v/>
      </c>
      <c r="J128" s="44">
        <f>MAX(0,G128+H128-I128)</f>
        <v/>
      </c>
      <c r="K128" s="42">
        <f>N127</f>
        <v/>
      </c>
      <c r="L128" s="43">
        <f>IF(K128&gt;0,K128*Plan!$D$25/100/12,0)</f>
        <v/>
      </c>
      <c r="M128" s="42">
        <f>IF(K128&lt;=0,0,MIN(K128+L128,Plan!$E$25))</f>
        <v/>
      </c>
      <c r="N128" s="44">
        <f>MAX(0,K128+L128-M128)</f>
        <v/>
      </c>
      <c r="O128" s="42">
        <f>R127</f>
        <v/>
      </c>
      <c r="P128" s="43">
        <f>IF(O128&gt;0,O128*Plan!$D$26/100/12,0)</f>
        <v/>
      </c>
      <c r="Q128" s="42">
        <f>IF(O128&lt;=0,0,MIN(O128+P128,Plan!$E$26))</f>
        <v/>
      </c>
      <c r="R128" s="44">
        <f>MAX(0,O128+P128-Q128)</f>
        <v/>
      </c>
      <c r="S128" s="42">
        <f>V127</f>
        <v/>
      </c>
      <c r="T128" s="43">
        <f>IF(S128&gt;0,S128*Plan!$D$27/100/12,0)</f>
        <v/>
      </c>
      <c r="U128" s="42">
        <f>IF(S128&lt;=0,0,MIN(S128+T128,Plan!$E$27))</f>
        <v/>
      </c>
      <c r="V128" s="44">
        <f>MAX(0,S128+T128-U128)</f>
        <v/>
      </c>
      <c r="W128" s="42">
        <f>Z127</f>
        <v/>
      </c>
      <c r="X128" s="43">
        <f>IF(W128&gt;0,W128*Plan!$D$28/100/12,0)</f>
        <v/>
      </c>
      <c r="Y128" s="42">
        <f>IF(W128&lt;=0,0,MIN(W128+X128,Plan!$E$28))</f>
        <v/>
      </c>
      <c r="Z128" s="44">
        <f>MAX(0,W128+X128-Y128)</f>
        <v/>
      </c>
      <c r="AA128" s="44">
        <f>F128+J128+N128+R128+V128+Z128</f>
        <v/>
      </c>
    </row>
    <row r="129">
      <c r="A129" s="46" t="n">
        <v>122</v>
      </c>
      <c r="B129" s="47">
        <f>EDATE(Plan!$C$18,121)</f>
        <v/>
      </c>
      <c r="C129" s="48">
        <f>F128</f>
        <v/>
      </c>
      <c r="D129" s="49">
        <f>IF(C129&gt;0,C129*Plan!$D$23/100/12,0)</f>
        <v/>
      </c>
      <c r="E129" s="48">
        <f>IF(C129&lt;=0,0,MIN(C129+D129,Plan!$E$23))</f>
        <v/>
      </c>
      <c r="F129" s="50">
        <f>MAX(0,C129+D129-E129)</f>
        <v/>
      </c>
      <c r="G129" s="48">
        <f>J128</f>
        <v/>
      </c>
      <c r="H129" s="49">
        <f>IF(G129&gt;0,G129*Plan!$D$24/100/12,0)</f>
        <v/>
      </c>
      <c r="I129" s="48">
        <f>IF(G129&lt;=0,0,MIN(G129+H129,Plan!$E$24))</f>
        <v/>
      </c>
      <c r="J129" s="50">
        <f>MAX(0,G129+H129-I129)</f>
        <v/>
      </c>
      <c r="K129" s="48">
        <f>N128</f>
        <v/>
      </c>
      <c r="L129" s="49">
        <f>IF(K129&gt;0,K129*Plan!$D$25/100/12,0)</f>
        <v/>
      </c>
      <c r="M129" s="48">
        <f>IF(K129&lt;=0,0,MIN(K129+L129,Plan!$E$25))</f>
        <v/>
      </c>
      <c r="N129" s="50">
        <f>MAX(0,K129+L129-M129)</f>
        <v/>
      </c>
      <c r="O129" s="48">
        <f>R128</f>
        <v/>
      </c>
      <c r="P129" s="49">
        <f>IF(O129&gt;0,O129*Plan!$D$26/100/12,0)</f>
        <v/>
      </c>
      <c r="Q129" s="48">
        <f>IF(O129&lt;=0,0,MIN(O129+P129,Plan!$E$26))</f>
        <v/>
      </c>
      <c r="R129" s="50">
        <f>MAX(0,O129+P129-Q129)</f>
        <v/>
      </c>
      <c r="S129" s="48">
        <f>V128</f>
        <v/>
      </c>
      <c r="T129" s="49">
        <f>IF(S129&gt;0,S129*Plan!$D$27/100/12,0)</f>
        <v/>
      </c>
      <c r="U129" s="48">
        <f>IF(S129&lt;=0,0,MIN(S129+T129,Plan!$E$27))</f>
        <v/>
      </c>
      <c r="V129" s="50">
        <f>MAX(0,S129+T129-U129)</f>
        <v/>
      </c>
      <c r="W129" s="48">
        <f>Z128</f>
        <v/>
      </c>
      <c r="X129" s="49">
        <f>IF(W129&gt;0,W129*Plan!$D$28/100/12,0)</f>
        <v/>
      </c>
      <c r="Y129" s="48">
        <f>IF(W129&lt;=0,0,MIN(W129+X129,Plan!$E$28))</f>
        <v/>
      </c>
      <c r="Z129" s="50">
        <f>MAX(0,W129+X129-Y129)</f>
        <v/>
      </c>
      <c r="AA129" s="50">
        <f>F129+J129+N129+R129+V129+Z129</f>
        <v/>
      </c>
    </row>
    <row r="130">
      <c r="A130" s="40" t="n">
        <v>123</v>
      </c>
      <c r="B130" s="41">
        <f>EDATE(Plan!$C$18,122)</f>
        <v/>
      </c>
      <c r="C130" s="42">
        <f>F129</f>
        <v/>
      </c>
      <c r="D130" s="43">
        <f>IF(C130&gt;0,C130*Plan!$D$23/100/12,0)</f>
        <v/>
      </c>
      <c r="E130" s="42">
        <f>IF(C130&lt;=0,0,MIN(C130+D130,Plan!$E$23))</f>
        <v/>
      </c>
      <c r="F130" s="44">
        <f>MAX(0,C130+D130-E130)</f>
        <v/>
      </c>
      <c r="G130" s="42">
        <f>J129</f>
        <v/>
      </c>
      <c r="H130" s="43">
        <f>IF(G130&gt;0,G130*Plan!$D$24/100/12,0)</f>
        <v/>
      </c>
      <c r="I130" s="42">
        <f>IF(G130&lt;=0,0,MIN(G130+H130,Plan!$E$24))</f>
        <v/>
      </c>
      <c r="J130" s="44">
        <f>MAX(0,G130+H130-I130)</f>
        <v/>
      </c>
      <c r="K130" s="42">
        <f>N129</f>
        <v/>
      </c>
      <c r="L130" s="43">
        <f>IF(K130&gt;0,K130*Plan!$D$25/100/12,0)</f>
        <v/>
      </c>
      <c r="M130" s="42">
        <f>IF(K130&lt;=0,0,MIN(K130+L130,Plan!$E$25))</f>
        <v/>
      </c>
      <c r="N130" s="44">
        <f>MAX(0,K130+L130-M130)</f>
        <v/>
      </c>
      <c r="O130" s="42">
        <f>R129</f>
        <v/>
      </c>
      <c r="P130" s="43">
        <f>IF(O130&gt;0,O130*Plan!$D$26/100/12,0)</f>
        <v/>
      </c>
      <c r="Q130" s="42">
        <f>IF(O130&lt;=0,0,MIN(O130+P130,Plan!$E$26))</f>
        <v/>
      </c>
      <c r="R130" s="44">
        <f>MAX(0,O130+P130-Q130)</f>
        <v/>
      </c>
      <c r="S130" s="42">
        <f>V129</f>
        <v/>
      </c>
      <c r="T130" s="43">
        <f>IF(S130&gt;0,S130*Plan!$D$27/100/12,0)</f>
        <v/>
      </c>
      <c r="U130" s="42">
        <f>IF(S130&lt;=0,0,MIN(S130+T130,Plan!$E$27))</f>
        <v/>
      </c>
      <c r="V130" s="44">
        <f>MAX(0,S130+T130-U130)</f>
        <v/>
      </c>
      <c r="W130" s="42">
        <f>Z129</f>
        <v/>
      </c>
      <c r="X130" s="43">
        <f>IF(W130&gt;0,W130*Plan!$D$28/100/12,0)</f>
        <v/>
      </c>
      <c r="Y130" s="42">
        <f>IF(W130&lt;=0,0,MIN(W130+X130,Plan!$E$28))</f>
        <v/>
      </c>
      <c r="Z130" s="44">
        <f>MAX(0,W130+X130-Y130)</f>
        <v/>
      </c>
      <c r="AA130" s="44">
        <f>F130+J130+N130+R130+V130+Z130</f>
        <v/>
      </c>
    </row>
    <row r="131">
      <c r="A131" s="46" t="n">
        <v>124</v>
      </c>
      <c r="B131" s="47">
        <f>EDATE(Plan!$C$18,123)</f>
        <v/>
      </c>
      <c r="C131" s="48">
        <f>F130</f>
        <v/>
      </c>
      <c r="D131" s="49">
        <f>IF(C131&gt;0,C131*Plan!$D$23/100/12,0)</f>
        <v/>
      </c>
      <c r="E131" s="48">
        <f>IF(C131&lt;=0,0,MIN(C131+D131,Plan!$E$23))</f>
        <v/>
      </c>
      <c r="F131" s="50">
        <f>MAX(0,C131+D131-E131)</f>
        <v/>
      </c>
      <c r="G131" s="48">
        <f>J130</f>
        <v/>
      </c>
      <c r="H131" s="49">
        <f>IF(G131&gt;0,G131*Plan!$D$24/100/12,0)</f>
        <v/>
      </c>
      <c r="I131" s="48">
        <f>IF(G131&lt;=0,0,MIN(G131+H131,Plan!$E$24))</f>
        <v/>
      </c>
      <c r="J131" s="50">
        <f>MAX(0,G131+H131-I131)</f>
        <v/>
      </c>
      <c r="K131" s="48">
        <f>N130</f>
        <v/>
      </c>
      <c r="L131" s="49">
        <f>IF(K131&gt;0,K131*Plan!$D$25/100/12,0)</f>
        <v/>
      </c>
      <c r="M131" s="48">
        <f>IF(K131&lt;=0,0,MIN(K131+L131,Plan!$E$25))</f>
        <v/>
      </c>
      <c r="N131" s="50">
        <f>MAX(0,K131+L131-M131)</f>
        <v/>
      </c>
      <c r="O131" s="48">
        <f>R130</f>
        <v/>
      </c>
      <c r="P131" s="49">
        <f>IF(O131&gt;0,O131*Plan!$D$26/100/12,0)</f>
        <v/>
      </c>
      <c r="Q131" s="48">
        <f>IF(O131&lt;=0,0,MIN(O131+P131,Plan!$E$26))</f>
        <v/>
      </c>
      <c r="R131" s="50">
        <f>MAX(0,O131+P131-Q131)</f>
        <v/>
      </c>
      <c r="S131" s="48">
        <f>V130</f>
        <v/>
      </c>
      <c r="T131" s="49">
        <f>IF(S131&gt;0,S131*Plan!$D$27/100/12,0)</f>
        <v/>
      </c>
      <c r="U131" s="48">
        <f>IF(S131&lt;=0,0,MIN(S131+T131,Plan!$E$27))</f>
        <v/>
      </c>
      <c r="V131" s="50">
        <f>MAX(0,S131+T131-U131)</f>
        <v/>
      </c>
      <c r="W131" s="48">
        <f>Z130</f>
        <v/>
      </c>
      <c r="X131" s="49">
        <f>IF(W131&gt;0,W131*Plan!$D$28/100/12,0)</f>
        <v/>
      </c>
      <c r="Y131" s="48">
        <f>IF(W131&lt;=0,0,MIN(W131+X131,Plan!$E$28))</f>
        <v/>
      </c>
      <c r="Z131" s="50">
        <f>MAX(0,W131+X131-Y131)</f>
        <v/>
      </c>
      <c r="AA131" s="50">
        <f>F131+J131+N131+R131+V131+Z131</f>
        <v/>
      </c>
    </row>
    <row r="132">
      <c r="A132" s="40" t="n">
        <v>125</v>
      </c>
      <c r="B132" s="41">
        <f>EDATE(Plan!$C$18,124)</f>
        <v/>
      </c>
      <c r="C132" s="42">
        <f>F131</f>
        <v/>
      </c>
      <c r="D132" s="43">
        <f>IF(C132&gt;0,C132*Plan!$D$23/100/12,0)</f>
        <v/>
      </c>
      <c r="E132" s="42">
        <f>IF(C132&lt;=0,0,MIN(C132+D132,Plan!$E$23))</f>
        <v/>
      </c>
      <c r="F132" s="44">
        <f>MAX(0,C132+D132-E132)</f>
        <v/>
      </c>
      <c r="G132" s="42">
        <f>J131</f>
        <v/>
      </c>
      <c r="H132" s="43">
        <f>IF(G132&gt;0,G132*Plan!$D$24/100/12,0)</f>
        <v/>
      </c>
      <c r="I132" s="42">
        <f>IF(G132&lt;=0,0,MIN(G132+H132,Plan!$E$24))</f>
        <v/>
      </c>
      <c r="J132" s="44">
        <f>MAX(0,G132+H132-I132)</f>
        <v/>
      </c>
      <c r="K132" s="42">
        <f>N131</f>
        <v/>
      </c>
      <c r="L132" s="43">
        <f>IF(K132&gt;0,K132*Plan!$D$25/100/12,0)</f>
        <v/>
      </c>
      <c r="M132" s="42">
        <f>IF(K132&lt;=0,0,MIN(K132+L132,Plan!$E$25))</f>
        <v/>
      </c>
      <c r="N132" s="44">
        <f>MAX(0,K132+L132-M132)</f>
        <v/>
      </c>
      <c r="O132" s="42">
        <f>R131</f>
        <v/>
      </c>
      <c r="P132" s="43">
        <f>IF(O132&gt;0,O132*Plan!$D$26/100/12,0)</f>
        <v/>
      </c>
      <c r="Q132" s="42">
        <f>IF(O132&lt;=0,0,MIN(O132+P132,Plan!$E$26))</f>
        <v/>
      </c>
      <c r="R132" s="44">
        <f>MAX(0,O132+P132-Q132)</f>
        <v/>
      </c>
      <c r="S132" s="42">
        <f>V131</f>
        <v/>
      </c>
      <c r="T132" s="43">
        <f>IF(S132&gt;0,S132*Plan!$D$27/100/12,0)</f>
        <v/>
      </c>
      <c r="U132" s="42">
        <f>IF(S132&lt;=0,0,MIN(S132+T132,Plan!$E$27))</f>
        <v/>
      </c>
      <c r="V132" s="44">
        <f>MAX(0,S132+T132-U132)</f>
        <v/>
      </c>
      <c r="W132" s="42">
        <f>Z131</f>
        <v/>
      </c>
      <c r="X132" s="43">
        <f>IF(W132&gt;0,W132*Plan!$D$28/100/12,0)</f>
        <v/>
      </c>
      <c r="Y132" s="42">
        <f>IF(W132&lt;=0,0,MIN(W132+X132,Plan!$E$28))</f>
        <v/>
      </c>
      <c r="Z132" s="44">
        <f>MAX(0,W132+X132-Y132)</f>
        <v/>
      </c>
      <c r="AA132" s="44">
        <f>F132+J132+N132+R132+V132+Z132</f>
        <v/>
      </c>
    </row>
    <row r="133">
      <c r="A133" s="46" t="n">
        <v>126</v>
      </c>
      <c r="B133" s="47">
        <f>EDATE(Plan!$C$18,125)</f>
        <v/>
      </c>
      <c r="C133" s="48">
        <f>F132</f>
        <v/>
      </c>
      <c r="D133" s="49">
        <f>IF(C133&gt;0,C133*Plan!$D$23/100/12,0)</f>
        <v/>
      </c>
      <c r="E133" s="48">
        <f>IF(C133&lt;=0,0,MIN(C133+D133,Plan!$E$23))</f>
        <v/>
      </c>
      <c r="F133" s="50">
        <f>MAX(0,C133+D133-E133)</f>
        <v/>
      </c>
      <c r="G133" s="48">
        <f>J132</f>
        <v/>
      </c>
      <c r="H133" s="49">
        <f>IF(G133&gt;0,G133*Plan!$D$24/100/12,0)</f>
        <v/>
      </c>
      <c r="I133" s="48">
        <f>IF(G133&lt;=0,0,MIN(G133+H133,Plan!$E$24))</f>
        <v/>
      </c>
      <c r="J133" s="50">
        <f>MAX(0,G133+H133-I133)</f>
        <v/>
      </c>
      <c r="K133" s="48">
        <f>N132</f>
        <v/>
      </c>
      <c r="L133" s="49">
        <f>IF(K133&gt;0,K133*Plan!$D$25/100/12,0)</f>
        <v/>
      </c>
      <c r="M133" s="48">
        <f>IF(K133&lt;=0,0,MIN(K133+L133,Plan!$E$25))</f>
        <v/>
      </c>
      <c r="N133" s="50">
        <f>MAX(0,K133+L133-M133)</f>
        <v/>
      </c>
      <c r="O133" s="48">
        <f>R132</f>
        <v/>
      </c>
      <c r="P133" s="49">
        <f>IF(O133&gt;0,O133*Plan!$D$26/100/12,0)</f>
        <v/>
      </c>
      <c r="Q133" s="48">
        <f>IF(O133&lt;=0,0,MIN(O133+P133,Plan!$E$26))</f>
        <v/>
      </c>
      <c r="R133" s="50">
        <f>MAX(0,O133+P133-Q133)</f>
        <v/>
      </c>
      <c r="S133" s="48">
        <f>V132</f>
        <v/>
      </c>
      <c r="T133" s="49">
        <f>IF(S133&gt;0,S133*Plan!$D$27/100/12,0)</f>
        <v/>
      </c>
      <c r="U133" s="48">
        <f>IF(S133&lt;=0,0,MIN(S133+T133,Plan!$E$27))</f>
        <v/>
      </c>
      <c r="V133" s="50">
        <f>MAX(0,S133+T133-U133)</f>
        <v/>
      </c>
      <c r="W133" s="48">
        <f>Z132</f>
        <v/>
      </c>
      <c r="X133" s="49">
        <f>IF(W133&gt;0,W133*Plan!$D$28/100/12,0)</f>
        <v/>
      </c>
      <c r="Y133" s="48">
        <f>IF(W133&lt;=0,0,MIN(W133+X133,Plan!$E$28))</f>
        <v/>
      </c>
      <c r="Z133" s="50">
        <f>MAX(0,W133+X133-Y133)</f>
        <v/>
      </c>
      <c r="AA133" s="50">
        <f>F133+J133+N133+R133+V133+Z133</f>
        <v/>
      </c>
    </row>
    <row r="134">
      <c r="A134" s="40" t="n">
        <v>127</v>
      </c>
      <c r="B134" s="41">
        <f>EDATE(Plan!$C$18,126)</f>
        <v/>
      </c>
      <c r="C134" s="42">
        <f>F133</f>
        <v/>
      </c>
      <c r="D134" s="43">
        <f>IF(C134&gt;0,C134*Plan!$D$23/100/12,0)</f>
        <v/>
      </c>
      <c r="E134" s="42">
        <f>IF(C134&lt;=0,0,MIN(C134+D134,Plan!$E$23))</f>
        <v/>
      </c>
      <c r="F134" s="44">
        <f>MAX(0,C134+D134-E134)</f>
        <v/>
      </c>
      <c r="G134" s="42">
        <f>J133</f>
        <v/>
      </c>
      <c r="H134" s="43">
        <f>IF(G134&gt;0,G134*Plan!$D$24/100/12,0)</f>
        <v/>
      </c>
      <c r="I134" s="42">
        <f>IF(G134&lt;=0,0,MIN(G134+H134,Plan!$E$24))</f>
        <v/>
      </c>
      <c r="J134" s="44">
        <f>MAX(0,G134+H134-I134)</f>
        <v/>
      </c>
      <c r="K134" s="42">
        <f>N133</f>
        <v/>
      </c>
      <c r="L134" s="43">
        <f>IF(K134&gt;0,K134*Plan!$D$25/100/12,0)</f>
        <v/>
      </c>
      <c r="M134" s="42">
        <f>IF(K134&lt;=0,0,MIN(K134+L134,Plan!$E$25))</f>
        <v/>
      </c>
      <c r="N134" s="44">
        <f>MAX(0,K134+L134-M134)</f>
        <v/>
      </c>
      <c r="O134" s="42">
        <f>R133</f>
        <v/>
      </c>
      <c r="P134" s="43">
        <f>IF(O134&gt;0,O134*Plan!$D$26/100/12,0)</f>
        <v/>
      </c>
      <c r="Q134" s="42">
        <f>IF(O134&lt;=0,0,MIN(O134+P134,Plan!$E$26))</f>
        <v/>
      </c>
      <c r="R134" s="44">
        <f>MAX(0,O134+P134-Q134)</f>
        <v/>
      </c>
      <c r="S134" s="42">
        <f>V133</f>
        <v/>
      </c>
      <c r="T134" s="43">
        <f>IF(S134&gt;0,S134*Plan!$D$27/100/12,0)</f>
        <v/>
      </c>
      <c r="U134" s="42">
        <f>IF(S134&lt;=0,0,MIN(S134+T134,Plan!$E$27))</f>
        <v/>
      </c>
      <c r="V134" s="44">
        <f>MAX(0,S134+T134-U134)</f>
        <v/>
      </c>
      <c r="W134" s="42">
        <f>Z133</f>
        <v/>
      </c>
      <c r="X134" s="43">
        <f>IF(W134&gt;0,W134*Plan!$D$28/100/12,0)</f>
        <v/>
      </c>
      <c r="Y134" s="42">
        <f>IF(W134&lt;=0,0,MIN(W134+X134,Plan!$E$28))</f>
        <v/>
      </c>
      <c r="Z134" s="44">
        <f>MAX(0,W134+X134-Y134)</f>
        <v/>
      </c>
      <c r="AA134" s="44">
        <f>F134+J134+N134+R134+V134+Z134</f>
        <v/>
      </c>
    </row>
    <row r="135">
      <c r="A135" s="46" t="n">
        <v>128</v>
      </c>
      <c r="B135" s="47">
        <f>EDATE(Plan!$C$18,127)</f>
        <v/>
      </c>
      <c r="C135" s="48">
        <f>F134</f>
        <v/>
      </c>
      <c r="D135" s="49">
        <f>IF(C135&gt;0,C135*Plan!$D$23/100/12,0)</f>
        <v/>
      </c>
      <c r="E135" s="48">
        <f>IF(C135&lt;=0,0,MIN(C135+D135,Plan!$E$23))</f>
        <v/>
      </c>
      <c r="F135" s="50">
        <f>MAX(0,C135+D135-E135)</f>
        <v/>
      </c>
      <c r="G135" s="48">
        <f>J134</f>
        <v/>
      </c>
      <c r="H135" s="49">
        <f>IF(G135&gt;0,G135*Plan!$D$24/100/12,0)</f>
        <v/>
      </c>
      <c r="I135" s="48">
        <f>IF(G135&lt;=0,0,MIN(G135+H135,Plan!$E$24))</f>
        <v/>
      </c>
      <c r="J135" s="50">
        <f>MAX(0,G135+H135-I135)</f>
        <v/>
      </c>
      <c r="K135" s="48">
        <f>N134</f>
        <v/>
      </c>
      <c r="L135" s="49">
        <f>IF(K135&gt;0,K135*Plan!$D$25/100/12,0)</f>
        <v/>
      </c>
      <c r="M135" s="48">
        <f>IF(K135&lt;=0,0,MIN(K135+L135,Plan!$E$25))</f>
        <v/>
      </c>
      <c r="N135" s="50">
        <f>MAX(0,K135+L135-M135)</f>
        <v/>
      </c>
      <c r="O135" s="48">
        <f>R134</f>
        <v/>
      </c>
      <c r="P135" s="49">
        <f>IF(O135&gt;0,O135*Plan!$D$26/100/12,0)</f>
        <v/>
      </c>
      <c r="Q135" s="48">
        <f>IF(O135&lt;=0,0,MIN(O135+P135,Plan!$E$26))</f>
        <v/>
      </c>
      <c r="R135" s="50">
        <f>MAX(0,O135+P135-Q135)</f>
        <v/>
      </c>
      <c r="S135" s="48">
        <f>V134</f>
        <v/>
      </c>
      <c r="T135" s="49">
        <f>IF(S135&gt;0,S135*Plan!$D$27/100/12,0)</f>
        <v/>
      </c>
      <c r="U135" s="48">
        <f>IF(S135&lt;=0,0,MIN(S135+T135,Plan!$E$27))</f>
        <v/>
      </c>
      <c r="V135" s="50">
        <f>MAX(0,S135+T135-U135)</f>
        <v/>
      </c>
      <c r="W135" s="48">
        <f>Z134</f>
        <v/>
      </c>
      <c r="X135" s="49">
        <f>IF(W135&gt;0,W135*Plan!$D$28/100/12,0)</f>
        <v/>
      </c>
      <c r="Y135" s="48">
        <f>IF(W135&lt;=0,0,MIN(W135+X135,Plan!$E$28))</f>
        <v/>
      </c>
      <c r="Z135" s="50">
        <f>MAX(0,W135+X135-Y135)</f>
        <v/>
      </c>
      <c r="AA135" s="50">
        <f>F135+J135+N135+R135+V135+Z135</f>
        <v/>
      </c>
    </row>
    <row r="136">
      <c r="A136" s="40" t="n">
        <v>129</v>
      </c>
      <c r="B136" s="41">
        <f>EDATE(Plan!$C$18,128)</f>
        <v/>
      </c>
      <c r="C136" s="42">
        <f>F135</f>
        <v/>
      </c>
      <c r="D136" s="43">
        <f>IF(C136&gt;0,C136*Plan!$D$23/100/12,0)</f>
        <v/>
      </c>
      <c r="E136" s="42">
        <f>IF(C136&lt;=0,0,MIN(C136+D136,Plan!$E$23))</f>
        <v/>
      </c>
      <c r="F136" s="44">
        <f>MAX(0,C136+D136-E136)</f>
        <v/>
      </c>
      <c r="G136" s="42">
        <f>J135</f>
        <v/>
      </c>
      <c r="H136" s="43">
        <f>IF(G136&gt;0,G136*Plan!$D$24/100/12,0)</f>
        <v/>
      </c>
      <c r="I136" s="42">
        <f>IF(G136&lt;=0,0,MIN(G136+H136,Plan!$E$24))</f>
        <v/>
      </c>
      <c r="J136" s="44">
        <f>MAX(0,G136+H136-I136)</f>
        <v/>
      </c>
      <c r="K136" s="42">
        <f>N135</f>
        <v/>
      </c>
      <c r="L136" s="43">
        <f>IF(K136&gt;0,K136*Plan!$D$25/100/12,0)</f>
        <v/>
      </c>
      <c r="M136" s="42">
        <f>IF(K136&lt;=0,0,MIN(K136+L136,Plan!$E$25))</f>
        <v/>
      </c>
      <c r="N136" s="44">
        <f>MAX(0,K136+L136-M136)</f>
        <v/>
      </c>
      <c r="O136" s="42">
        <f>R135</f>
        <v/>
      </c>
      <c r="P136" s="43">
        <f>IF(O136&gt;0,O136*Plan!$D$26/100/12,0)</f>
        <v/>
      </c>
      <c r="Q136" s="42">
        <f>IF(O136&lt;=0,0,MIN(O136+P136,Plan!$E$26))</f>
        <v/>
      </c>
      <c r="R136" s="44">
        <f>MAX(0,O136+P136-Q136)</f>
        <v/>
      </c>
      <c r="S136" s="42">
        <f>V135</f>
        <v/>
      </c>
      <c r="T136" s="43">
        <f>IF(S136&gt;0,S136*Plan!$D$27/100/12,0)</f>
        <v/>
      </c>
      <c r="U136" s="42">
        <f>IF(S136&lt;=0,0,MIN(S136+T136,Plan!$E$27))</f>
        <v/>
      </c>
      <c r="V136" s="44">
        <f>MAX(0,S136+T136-U136)</f>
        <v/>
      </c>
      <c r="W136" s="42">
        <f>Z135</f>
        <v/>
      </c>
      <c r="X136" s="43">
        <f>IF(W136&gt;0,W136*Plan!$D$28/100/12,0)</f>
        <v/>
      </c>
      <c r="Y136" s="42">
        <f>IF(W136&lt;=0,0,MIN(W136+X136,Plan!$E$28))</f>
        <v/>
      </c>
      <c r="Z136" s="44">
        <f>MAX(0,W136+X136-Y136)</f>
        <v/>
      </c>
      <c r="AA136" s="44">
        <f>F136+J136+N136+R136+V136+Z136</f>
        <v/>
      </c>
    </row>
    <row r="137">
      <c r="A137" s="46" t="n">
        <v>130</v>
      </c>
      <c r="B137" s="47">
        <f>EDATE(Plan!$C$18,129)</f>
        <v/>
      </c>
      <c r="C137" s="48">
        <f>F136</f>
        <v/>
      </c>
      <c r="D137" s="49">
        <f>IF(C137&gt;0,C137*Plan!$D$23/100/12,0)</f>
        <v/>
      </c>
      <c r="E137" s="48">
        <f>IF(C137&lt;=0,0,MIN(C137+D137,Plan!$E$23))</f>
        <v/>
      </c>
      <c r="F137" s="50">
        <f>MAX(0,C137+D137-E137)</f>
        <v/>
      </c>
      <c r="G137" s="48">
        <f>J136</f>
        <v/>
      </c>
      <c r="H137" s="49">
        <f>IF(G137&gt;0,G137*Plan!$D$24/100/12,0)</f>
        <v/>
      </c>
      <c r="I137" s="48">
        <f>IF(G137&lt;=0,0,MIN(G137+H137,Plan!$E$24))</f>
        <v/>
      </c>
      <c r="J137" s="50">
        <f>MAX(0,G137+H137-I137)</f>
        <v/>
      </c>
      <c r="K137" s="48">
        <f>N136</f>
        <v/>
      </c>
      <c r="L137" s="49">
        <f>IF(K137&gt;0,K137*Plan!$D$25/100/12,0)</f>
        <v/>
      </c>
      <c r="M137" s="48">
        <f>IF(K137&lt;=0,0,MIN(K137+L137,Plan!$E$25))</f>
        <v/>
      </c>
      <c r="N137" s="50">
        <f>MAX(0,K137+L137-M137)</f>
        <v/>
      </c>
      <c r="O137" s="48">
        <f>R136</f>
        <v/>
      </c>
      <c r="P137" s="49">
        <f>IF(O137&gt;0,O137*Plan!$D$26/100/12,0)</f>
        <v/>
      </c>
      <c r="Q137" s="48">
        <f>IF(O137&lt;=0,0,MIN(O137+P137,Plan!$E$26))</f>
        <v/>
      </c>
      <c r="R137" s="50">
        <f>MAX(0,O137+P137-Q137)</f>
        <v/>
      </c>
      <c r="S137" s="48">
        <f>V136</f>
        <v/>
      </c>
      <c r="T137" s="49">
        <f>IF(S137&gt;0,S137*Plan!$D$27/100/12,0)</f>
        <v/>
      </c>
      <c r="U137" s="48">
        <f>IF(S137&lt;=0,0,MIN(S137+T137,Plan!$E$27))</f>
        <v/>
      </c>
      <c r="V137" s="50">
        <f>MAX(0,S137+T137-U137)</f>
        <v/>
      </c>
      <c r="W137" s="48">
        <f>Z136</f>
        <v/>
      </c>
      <c r="X137" s="49">
        <f>IF(W137&gt;0,W137*Plan!$D$28/100/12,0)</f>
        <v/>
      </c>
      <c r="Y137" s="48">
        <f>IF(W137&lt;=0,0,MIN(W137+X137,Plan!$E$28))</f>
        <v/>
      </c>
      <c r="Z137" s="50">
        <f>MAX(0,W137+X137-Y137)</f>
        <v/>
      </c>
      <c r="AA137" s="50">
        <f>F137+J137+N137+R137+V137+Z137</f>
        <v/>
      </c>
    </row>
    <row r="138">
      <c r="A138" s="40" t="n">
        <v>131</v>
      </c>
      <c r="B138" s="41">
        <f>EDATE(Plan!$C$18,130)</f>
        <v/>
      </c>
      <c r="C138" s="42">
        <f>F137</f>
        <v/>
      </c>
      <c r="D138" s="43">
        <f>IF(C138&gt;0,C138*Plan!$D$23/100/12,0)</f>
        <v/>
      </c>
      <c r="E138" s="42">
        <f>IF(C138&lt;=0,0,MIN(C138+D138,Plan!$E$23))</f>
        <v/>
      </c>
      <c r="F138" s="44">
        <f>MAX(0,C138+D138-E138)</f>
        <v/>
      </c>
      <c r="G138" s="42">
        <f>J137</f>
        <v/>
      </c>
      <c r="H138" s="43">
        <f>IF(G138&gt;0,G138*Plan!$D$24/100/12,0)</f>
        <v/>
      </c>
      <c r="I138" s="42">
        <f>IF(G138&lt;=0,0,MIN(G138+H138,Plan!$E$24))</f>
        <v/>
      </c>
      <c r="J138" s="44">
        <f>MAX(0,G138+H138-I138)</f>
        <v/>
      </c>
      <c r="K138" s="42">
        <f>N137</f>
        <v/>
      </c>
      <c r="L138" s="43">
        <f>IF(K138&gt;0,K138*Plan!$D$25/100/12,0)</f>
        <v/>
      </c>
      <c r="M138" s="42">
        <f>IF(K138&lt;=0,0,MIN(K138+L138,Plan!$E$25))</f>
        <v/>
      </c>
      <c r="N138" s="44">
        <f>MAX(0,K138+L138-M138)</f>
        <v/>
      </c>
      <c r="O138" s="42">
        <f>R137</f>
        <v/>
      </c>
      <c r="P138" s="43">
        <f>IF(O138&gt;0,O138*Plan!$D$26/100/12,0)</f>
        <v/>
      </c>
      <c r="Q138" s="42">
        <f>IF(O138&lt;=0,0,MIN(O138+P138,Plan!$E$26))</f>
        <v/>
      </c>
      <c r="R138" s="44">
        <f>MAX(0,O138+P138-Q138)</f>
        <v/>
      </c>
      <c r="S138" s="42">
        <f>V137</f>
        <v/>
      </c>
      <c r="T138" s="43">
        <f>IF(S138&gt;0,S138*Plan!$D$27/100/12,0)</f>
        <v/>
      </c>
      <c r="U138" s="42">
        <f>IF(S138&lt;=0,0,MIN(S138+T138,Plan!$E$27))</f>
        <v/>
      </c>
      <c r="V138" s="44">
        <f>MAX(0,S138+T138-U138)</f>
        <v/>
      </c>
      <c r="W138" s="42">
        <f>Z137</f>
        <v/>
      </c>
      <c r="X138" s="43">
        <f>IF(W138&gt;0,W138*Plan!$D$28/100/12,0)</f>
        <v/>
      </c>
      <c r="Y138" s="42">
        <f>IF(W138&lt;=0,0,MIN(W138+X138,Plan!$E$28))</f>
        <v/>
      </c>
      <c r="Z138" s="44">
        <f>MAX(0,W138+X138-Y138)</f>
        <v/>
      </c>
      <c r="AA138" s="44">
        <f>F138+J138+N138+R138+V138+Z138</f>
        <v/>
      </c>
    </row>
    <row r="139">
      <c r="A139" s="46" t="n">
        <v>132</v>
      </c>
      <c r="B139" s="47">
        <f>EDATE(Plan!$C$18,131)</f>
        <v/>
      </c>
      <c r="C139" s="48">
        <f>F138</f>
        <v/>
      </c>
      <c r="D139" s="49">
        <f>IF(C139&gt;0,C139*Plan!$D$23/100/12,0)</f>
        <v/>
      </c>
      <c r="E139" s="48">
        <f>IF(C139&lt;=0,0,MIN(C139+D139,Plan!$E$23))</f>
        <v/>
      </c>
      <c r="F139" s="50">
        <f>MAX(0,C139+D139-E139)</f>
        <v/>
      </c>
      <c r="G139" s="48">
        <f>J138</f>
        <v/>
      </c>
      <c r="H139" s="49">
        <f>IF(G139&gt;0,G139*Plan!$D$24/100/12,0)</f>
        <v/>
      </c>
      <c r="I139" s="48">
        <f>IF(G139&lt;=0,0,MIN(G139+H139,Plan!$E$24))</f>
        <v/>
      </c>
      <c r="J139" s="50">
        <f>MAX(0,G139+H139-I139)</f>
        <v/>
      </c>
      <c r="K139" s="48">
        <f>N138</f>
        <v/>
      </c>
      <c r="L139" s="49">
        <f>IF(K139&gt;0,K139*Plan!$D$25/100/12,0)</f>
        <v/>
      </c>
      <c r="M139" s="48">
        <f>IF(K139&lt;=0,0,MIN(K139+L139,Plan!$E$25))</f>
        <v/>
      </c>
      <c r="N139" s="50">
        <f>MAX(0,K139+L139-M139)</f>
        <v/>
      </c>
      <c r="O139" s="48">
        <f>R138</f>
        <v/>
      </c>
      <c r="P139" s="49">
        <f>IF(O139&gt;0,O139*Plan!$D$26/100/12,0)</f>
        <v/>
      </c>
      <c r="Q139" s="48">
        <f>IF(O139&lt;=0,0,MIN(O139+P139,Plan!$E$26))</f>
        <v/>
      </c>
      <c r="R139" s="50">
        <f>MAX(0,O139+P139-Q139)</f>
        <v/>
      </c>
      <c r="S139" s="48">
        <f>V138</f>
        <v/>
      </c>
      <c r="T139" s="49">
        <f>IF(S139&gt;0,S139*Plan!$D$27/100/12,0)</f>
        <v/>
      </c>
      <c r="U139" s="48">
        <f>IF(S139&lt;=0,0,MIN(S139+T139,Plan!$E$27))</f>
        <v/>
      </c>
      <c r="V139" s="50">
        <f>MAX(0,S139+T139-U139)</f>
        <v/>
      </c>
      <c r="W139" s="48">
        <f>Z138</f>
        <v/>
      </c>
      <c r="X139" s="49">
        <f>IF(W139&gt;0,W139*Plan!$D$28/100/12,0)</f>
        <v/>
      </c>
      <c r="Y139" s="48">
        <f>IF(W139&lt;=0,0,MIN(W139+X139,Plan!$E$28))</f>
        <v/>
      </c>
      <c r="Z139" s="50">
        <f>MAX(0,W139+X139-Y139)</f>
        <v/>
      </c>
      <c r="AA139" s="50">
        <f>F139+J139+N139+R139+V139+Z139</f>
        <v/>
      </c>
    </row>
    <row r="140">
      <c r="A140" s="40" t="n">
        <v>133</v>
      </c>
      <c r="B140" s="41">
        <f>EDATE(Plan!$C$18,132)</f>
        <v/>
      </c>
      <c r="C140" s="42">
        <f>F139</f>
        <v/>
      </c>
      <c r="D140" s="43">
        <f>IF(C140&gt;0,C140*Plan!$D$23/100/12,0)</f>
        <v/>
      </c>
      <c r="E140" s="42">
        <f>IF(C140&lt;=0,0,MIN(C140+D140,Plan!$E$23))</f>
        <v/>
      </c>
      <c r="F140" s="44">
        <f>MAX(0,C140+D140-E140)</f>
        <v/>
      </c>
      <c r="G140" s="42">
        <f>J139</f>
        <v/>
      </c>
      <c r="H140" s="43">
        <f>IF(G140&gt;0,G140*Plan!$D$24/100/12,0)</f>
        <v/>
      </c>
      <c r="I140" s="42">
        <f>IF(G140&lt;=0,0,MIN(G140+H140,Plan!$E$24))</f>
        <v/>
      </c>
      <c r="J140" s="44">
        <f>MAX(0,G140+H140-I140)</f>
        <v/>
      </c>
      <c r="K140" s="42">
        <f>N139</f>
        <v/>
      </c>
      <c r="L140" s="43">
        <f>IF(K140&gt;0,K140*Plan!$D$25/100/12,0)</f>
        <v/>
      </c>
      <c r="M140" s="42">
        <f>IF(K140&lt;=0,0,MIN(K140+L140,Plan!$E$25))</f>
        <v/>
      </c>
      <c r="N140" s="44">
        <f>MAX(0,K140+L140-M140)</f>
        <v/>
      </c>
      <c r="O140" s="42">
        <f>R139</f>
        <v/>
      </c>
      <c r="P140" s="43">
        <f>IF(O140&gt;0,O140*Plan!$D$26/100/12,0)</f>
        <v/>
      </c>
      <c r="Q140" s="42">
        <f>IF(O140&lt;=0,0,MIN(O140+P140,Plan!$E$26))</f>
        <v/>
      </c>
      <c r="R140" s="44">
        <f>MAX(0,O140+P140-Q140)</f>
        <v/>
      </c>
      <c r="S140" s="42">
        <f>V139</f>
        <v/>
      </c>
      <c r="T140" s="43">
        <f>IF(S140&gt;0,S140*Plan!$D$27/100/12,0)</f>
        <v/>
      </c>
      <c r="U140" s="42">
        <f>IF(S140&lt;=0,0,MIN(S140+T140,Plan!$E$27))</f>
        <v/>
      </c>
      <c r="V140" s="44">
        <f>MAX(0,S140+T140-U140)</f>
        <v/>
      </c>
      <c r="W140" s="42">
        <f>Z139</f>
        <v/>
      </c>
      <c r="X140" s="43">
        <f>IF(W140&gt;0,W140*Plan!$D$28/100/12,0)</f>
        <v/>
      </c>
      <c r="Y140" s="42">
        <f>IF(W140&lt;=0,0,MIN(W140+X140,Plan!$E$28))</f>
        <v/>
      </c>
      <c r="Z140" s="44">
        <f>MAX(0,W140+X140-Y140)</f>
        <v/>
      </c>
      <c r="AA140" s="44">
        <f>F140+J140+N140+R140+V140+Z140</f>
        <v/>
      </c>
    </row>
    <row r="141">
      <c r="A141" s="46" t="n">
        <v>134</v>
      </c>
      <c r="B141" s="47">
        <f>EDATE(Plan!$C$18,133)</f>
        <v/>
      </c>
      <c r="C141" s="48">
        <f>F140</f>
        <v/>
      </c>
      <c r="D141" s="49">
        <f>IF(C141&gt;0,C141*Plan!$D$23/100/12,0)</f>
        <v/>
      </c>
      <c r="E141" s="48">
        <f>IF(C141&lt;=0,0,MIN(C141+D141,Plan!$E$23))</f>
        <v/>
      </c>
      <c r="F141" s="50">
        <f>MAX(0,C141+D141-E141)</f>
        <v/>
      </c>
      <c r="G141" s="48">
        <f>J140</f>
        <v/>
      </c>
      <c r="H141" s="49">
        <f>IF(G141&gt;0,G141*Plan!$D$24/100/12,0)</f>
        <v/>
      </c>
      <c r="I141" s="48">
        <f>IF(G141&lt;=0,0,MIN(G141+H141,Plan!$E$24))</f>
        <v/>
      </c>
      <c r="J141" s="50">
        <f>MAX(0,G141+H141-I141)</f>
        <v/>
      </c>
      <c r="K141" s="48">
        <f>N140</f>
        <v/>
      </c>
      <c r="L141" s="49">
        <f>IF(K141&gt;0,K141*Plan!$D$25/100/12,0)</f>
        <v/>
      </c>
      <c r="M141" s="48">
        <f>IF(K141&lt;=0,0,MIN(K141+L141,Plan!$E$25))</f>
        <v/>
      </c>
      <c r="N141" s="50">
        <f>MAX(0,K141+L141-M141)</f>
        <v/>
      </c>
      <c r="O141" s="48">
        <f>R140</f>
        <v/>
      </c>
      <c r="P141" s="49">
        <f>IF(O141&gt;0,O141*Plan!$D$26/100/12,0)</f>
        <v/>
      </c>
      <c r="Q141" s="48">
        <f>IF(O141&lt;=0,0,MIN(O141+P141,Plan!$E$26))</f>
        <v/>
      </c>
      <c r="R141" s="50">
        <f>MAX(0,O141+P141-Q141)</f>
        <v/>
      </c>
      <c r="S141" s="48">
        <f>V140</f>
        <v/>
      </c>
      <c r="T141" s="49">
        <f>IF(S141&gt;0,S141*Plan!$D$27/100/12,0)</f>
        <v/>
      </c>
      <c r="U141" s="48">
        <f>IF(S141&lt;=0,0,MIN(S141+T141,Plan!$E$27))</f>
        <v/>
      </c>
      <c r="V141" s="50">
        <f>MAX(0,S141+T141-U141)</f>
        <v/>
      </c>
      <c r="W141" s="48">
        <f>Z140</f>
        <v/>
      </c>
      <c r="X141" s="49">
        <f>IF(W141&gt;0,W141*Plan!$D$28/100/12,0)</f>
        <v/>
      </c>
      <c r="Y141" s="48">
        <f>IF(W141&lt;=0,0,MIN(W141+X141,Plan!$E$28))</f>
        <v/>
      </c>
      <c r="Z141" s="50">
        <f>MAX(0,W141+X141-Y141)</f>
        <v/>
      </c>
      <c r="AA141" s="50">
        <f>F141+J141+N141+R141+V141+Z141</f>
        <v/>
      </c>
    </row>
    <row r="142">
      <c r="A142" s="40" t="n">
        <v>135</v>
      </c>
      <c r="B142" s="41">
        <f>EDATE(Plan!$C$18,134)</f>
        <v/>
      </c>
      <c r="C142" s="42">
        <f>F141</f>
        <v/>
      </c>
      <c r="D142" s="43">
        <f>IF(C142&gt;0,C142*Plan!$D$23/100/12,0)</f>
        <v/>
      </c>
      <c r="E142" s="42">
        <f>IF(C142&lt;=0,0,MIN(C142+D142,Plan!$E$23))</f>
        <v/>
      </c>
      <c r="F142" s="44">
        <f>MAX(0,C142+D142-E142)</f>
        <v/>
      </c>
      <c r="G142" s="42">
        <f>J141</f>
        <v/>
      </c>
      <c r="H142" s="43">
        <f>IF(G142&gt;0,G142*Plan!$D$24/100/12,0)</f>
        <v/>
      </c>
      <c r="I142" s="42">
        <f>IF(G142&lt;=0,0,MIN(G142+H142,Plan!$E$24))</f>
        <v/>
      </c>
      <c r="J142" s="44">
        <f>MAX(0,G142+H142-I142)</f>
        <v/>
      </c>
      <c r="K142" s="42">
        <f>N141</f>
        <v/>
      </c>
      <c r="L142" s="43">
        <f>IF(K142&gt;0,K142*Plan!$D$25/100/12,0)</f>
        <v/>
      </c>
      <c r="M142" s="42">
        <f>IF(K142&lt;=0,0,MIN(K142+L142,Plan!$E$25))</f>
        <v/>
      </c>
      <c r="N142" s="44">
        <f>MAX(0,K142+L142-M142)</f>
        <v/>
      </c>
      <c r="O142" s="42">
        <f>R141</f>
        <v/>
      </c>
      <c r="P142" s="43">
        <f>IF(O142&gt;0,O142*Plan!$D$26/100/12,0)</f>
        <v/>
      </c>
      <c r="Q142" s="42">
        <f>IF(O142&lt;=0,0,MIN(O142+P142,Plan!$E$26))</f>
        <v/>
      </c>
      <c r="R142" s="44">
        <f>MAX(0,O142+P142-Q142)</f>
        <v/>
      </c>
      <c r="S142" s="42">
        <f>V141</f>
        <v/>
      </c>
      <c r="T142" s="43">
        <f>IF(S142&gt;0,S142*Plan!$D$27/100/12,0)</f>
        <v/>
      </c>
      <c r="U142" s="42">
        <f>IF(S142&lt;=0,0,MIN(S142+T142,Plan!$E$27))</f>
        <v/>
      </c>
      <c r="V142" s="44">
        <f>MAX(0,S142+T142-U142)</f>
        <v/>
      </c>
      <c r="W142" s="42">
        <f>Z141</f>
        <v/>
      </c>
      <c r="X142" s="43">
        <f>IF(W142&gt;0,W142*Plan!$D$28/100/12,0)</f>
        <v/>
      </c>
      <c r="Y142" s="42">
        <f>IF(W142&lt;=0,0,MIN(W142+X142,Plan!$E$28))</f>
        <v/>
      </c>
      <c r="Z142" s="44">
        <f>MAX(0,W142+X142-Y142)</f>
        <v/>
      </c>
      <c r="AA142" s="44">
        <f>F142+J142+N142+R142+V142+Z142</f>
        <v/>
      </c>
    </row>
    <row r="143">
      <c r="A143" s="46" t="n">
        <v>136</v>
      </c>
      <c r="B143" s="47">
        <f>EDATE(Plan!$C$18,135)</f>
        <v/>
      </c>
      <c r="C143" s="48">
        <f>F142</f>
        <v/>
      </c>
      <c r="D143" s="49">
        <f>IF(C143&gt;0,C143*Plan!$D$23/100/12,0)</f>
        <v/>
      </c>
      <c r="E143" s="48">
        <f>IF(C143&lt;=0,0,MIN(C143+D143,Plan!$E$23))</f>
        <v/>
      </c>
      <c r="F143" s="50">
        <f>MAX(0,C143+D143-E143)</f>
        <v/>
      </c>
      <c r="G143" s="48">
        <f>J142</f>
        <v/>
      </c>
      <c r="H143" s="49">
        <f>IF(G143&gt;0,G143*Plan!$D$24/100/12,0)</f>
        <v/>
      </c>
      <c r="I143" s="48">
        <f>IF(G143&lt;=0,0,MIN(G143+H143,Plan!$E$24))</f>
        <v/>
      </c>
      <c r="J143" s="50">
        <f>MAX(0,G143+H143-I143)</f>
        <v/>
      </c>
      <c r="K143" s="48">
        <f>N142</f>
        <v/>
      </c>
      <c r="L143" s="49">
        <f>IF(K143&gt;0,K143*Plan!$D$25/100/12,0)</f>
        <v/>
      </c>
      <c r="M143" s="48">
        <f>IF(K143&lt;=0,0,MIN(K143+L143,Plan!$E$25))</f>
        <v/>
      </c>
      <c r="N143" s="50">
        <f>MAX(0,K143+L143-M143)</f>
        <v/>
      </c>
      <c r="O143" s="48">
        <f>R142</f>
        <v/>
      </c>
      <c r="P143" s="49">
        <f>IF(O143&gt;0,O143*Plan!$D$26/100/12,0)</f>
        <v/>
      </c>
      <c r="Q143" s="48">
        <f>IF(O143&lt;=0,0,MIN(O143+P143,Plan!$E$26))</f>
        <v/>
      </c>
      <c r="R143" s="50">
        <f>MAX(0,O143+P143-Q143)</f>
        <v/>
      </c>
      <c r="S143" s="48">
        <f>V142</f>
        <v/>
      </c>
      <c r="T143" s="49">
        <f>IF(S143&gt;0,S143*Plan!$D$27/100/12,0)</f>
        <v/>
      </c>
      <c r="U143" s="48">
        <f>IF(S143&lt;=0,0,MIN(S143+T143,Plan!$E$27))</f>
        <v/>
      </c>
      <c r="V143" s="50">
        <f>MAX(0,S143+T143-U143)</f>
        <v/>
      </c>
      <c r="W143" s="48">
        <f>Z142</f>
        <v/>
      </c>
      <c r="X143" s="49">
        <f>IF(W143&gt;0,W143*Plan!$D$28/100/12,0)</f>
        <v/>
      </c>
      <c r="Y143" s="48">
        <f>IF(W143&lt;=0,0,MIN(W143+X143,Plan!$E$28))</f>
        <v/>
      </c>
      <c r="Z143" s="50">
        <f>MAX(0,W143+X143-Y143)</f>
        <v/>
      </c>
      <c r="AA143" s="50">
        <f>F143+J143+N143+R143+V143+Z143</f>
        <v/>
      </c>
    </row>
    <row r="144">
      <c r="A144" s="40" t="n">
        <v>137</v>
      </c>
      <c r="B144" s="41">
        <f>EDATE(Plan!$C$18,136)</f>
        <v/>
      </c>
      <c r="C144" s="42">
        <f>F143</f>
        <v/>
      </c>
      <c r="D144" s="43">
        <f>IF(C144&gt;0,C144*Plan!$D$23/100/12,0)</f>
        <v/>
      </c>
      <c r="E144" s="42">
        <f>IF(C144&lt;=0,0,MIN(C144+D144,Plan!$E$23))</f>
        <v/>
      </c>
      <c r="F144" s="44">
        <f>MAX(0,C144+D144-E144)</f>
        <v/>
      </c>
      <c r="G144" s="42">
        <f>J143</f>
        <v/>
      </c>
      <c r="H144" s="43">
        <f>IF(G144&gt;0,G144*Plan!$D$24/100/12,0)</f>
        <v/>
      </c>
      <c r="I144" s="42">
        <f>IF(G144&lt;=0,0,MIN(G144+H144,Plan!$E$24))</f>
        <v/>
      </c>
      <c r="J144" s="44">
        <f>MAX(0,G144+H144-I144)</f>
        <v/>
      </c>
      <c r="K144" s="42">
        <f>N143</f>
        <v/>
      </c>
      <c r="L144" s="43">
        <f>IF(K144&gt;0,K144*Plan!$D$25/100/12,0)</f>
        <v/>
      </c>
      <c r="M144" s="42">
        <f>IF(K144&lt;=0,0,MIN(K144+L144,Plan!$E$25))</f>
        <v/>
      </c>
      <c r="N144" s="44">
        <f>MAX(0,K144+L144-M144)</f>
        <v/>
      </c>
      <c r="O144" s="42">
        <f>R143</f>
        <v/>
      </c>
      <c r="P144" s="43">
        <f>IF(O144&gt;0,O144*Plan!$D$26/100/12,0)</f>
        <v/>
      </c>
      <c r="Q144" s="42">
        <f>IF(O144&lt;=0,0,MIN(O144+P144,Plan!$E$26))</f>
        <v/>
      </c>
      <c r="R144" s="44">
        <f>MAX(0,O144+P144-Q144)</f>
        <v/>
      </c>
      <c r="S144" s="42">
        <f>V143</f>
        <v/>
      </c>
      <c r="T144" s="43">
        <f>IF(S144&gt;0,S144*Plan!$D$27/100/12,0)</f>
        <v/>
      </c>
      <c r="U144" s="42">
        <f>IF(S144&lt;=0,0,MIN(S144+T144,Plan!$E$27))</f>
        <v/>
      </c>
      <c r="V144" s="44">
        <f>MAX(0,S144+T144-U144)</f>
        <v/>
      </c>
      <c r="W144" s="42">
        <f>Z143</f>
        <v/>
      </c>
      <c r="X144" s="43">
        <f>IF(W144&gt;0,W144*Plan!$D$28/100/12,0)</f>
        <v/>
      </c>
      <c r="Y144" s="42">
        <f>IF(W144&lt;=0,0,MIN(W144+X144,Plan!$E$28))</f>
        <v/>
      </c>
      <c r="Z144" s="44">
        <f>MAX(0,W144+X144-Y144)</f>
        <v/>
      </c>
      <c r="AA144" s="44">
        <f>F144+J144+N144+R144+V144+Z144</f>
        <v/>
      </c>
    </row>
    <row r="145">
      <c r="A145" s="46" t="n">
        <v>138</v>
      </c>
      <c r="B145" s="47">
        <f>EDATE(Plan!$C$18,137)</f>
        <v/>
      </c>
      <c r="C145" s="48">
        <f>F144</f>
        <v/>
      </c>
      <c r="D145" s="49">
        <f>IF(C145&gt;0,C145*Plan!$D$23/100/12,0)</f>
        <v/>
      </c>
      <c r="E145" s="48">
        <f>IF(C145&lt;=0,0,MIN(C145+D145,Plan!$E$23))</f>
        <v/>
      </c>
      <c r="F145" s="50">
        <f>MAX(0,C145+D145-E145)</f>
        <v/>
      </c>
      <c r="G145" s="48">
        <f>J144</f>
        <v/>
      </c>
      <c r="H145" s="49">
        <f>IF(G145&gt;0,G145*Plan!$D$24/100/12,0)</f>
        <v/>
      </c>
      <c r="I145" s="48">
        <f>IF(G145&lt;=0,0,MIN(G145+H145,Plan!$E$24))</f>
        <v/>
      </c>
      <c r="J145" s="50">
        <f>MAX(0,G145+H145-I145)</f>
        <v/>
      </c>
      <c r="K145" s="48">
        <f>N144</f>
        <v/>
      </c>
      <c r="L145" s="49">
        <f>IF(K145&gt;0,K145*Plan!$D$25/100/12,0)</f>
        <v/>
      </c>
      <c r="M145" s="48">
        <f>IF(K145&lt;=0,0,MIN(K145+L145,Plan!$E$25))</f>
        <v/>
      </c>
      <c r="N145" s="50">
        <f>MAX(0,K145+L145-M145)</f>
        <v/>
      </c>
      <c r="O145" s="48">
        <f>R144</f>
        <v/>
      </c>
      <c r="P145" s="49">
        <f>IF(O145&gt;0,O145*Plan!$D$26/100/12,0)</f>
        <v/>
      </c>
      <c r="Q145" s="48">
        <f>IF(O145&lt;=0,0,MIN(O145+P145,Plan!$E$26))</f>
        <v/>
      </c>
      <c r="R145" s="50">
        <f>MAX(0,O145+P145-Q145)</f>
        <v/>
      </c>
      <c r="S145" s="48">
        <f>V144</f>
        <v/>
      </c>
      <c r="T145" s="49">
        <f>IF(S145&gt;0,S145*Plan!$D$27/100/12,0)</f>
        <v/>
      </c>
      <c r="U145" s="48">
        <f>IF(S145&lt;=0,0,MIN(S145+T145,Plan!$E$27))</f>
        <v/>
      </c>
      <c r="V145" s="50">
        <f>MAX(0,S145+T145-U145)</f>
        <v/>
      </c>
      <c r="W145" s="48">
        <f>Z144</f>
        <v/>
      </c>
      <c r="X145" s="49">
        <f>IF(W145&gt;0,W145*Plan!$D$28/100/12,0)</f>
        <v/>
      </c>
      <c r="Y145" s="48">
        <f>IF(W145&lt;=0,0,MIN(W145+X145,Plan!$E$28))</f>
        <v/>
      </c>
      <c r="Z145" s="50">
        <f>MAX(0,W145+X145-Y145)</f>
        <v/>
      </c>
      <c r="AA145" s="50">
        <f>F145+J145+N145+R145+V145+Z145</f>
        <v/>
      </c>
    </row>
    <row r="146">
      <c r="A146" s="40" t="n">
        <v>139</v>
      </c>
      <c r="B146" s="41">
        <f>EDATE(Plan!$C$18,138)</f>
        <v/>
      </c>
      <c r="C146" s="42">
        <f>F145</f>
        <v/>
      </c>
      <c r="D146" s="43">
        <f>IF(C146&gt;0,C146*Plan!$D$23/100/12,0)</f>
        <v/>
      </c>
      <c r="E146" s="42">
        <f>IF(C146&lt;=0,0,MIN(C146+D146,Plan!$E$23))</f>
        <v/>
      </c>
      <c r="F146" s="44">
        <f>MAX(0,C146+D146-E146)</f>
        <v/>
      </c>
      <c r="G146" s="42">
        <f>J145</f>
        <v/>
      </c>
      <c r="H146" s="43">
        <f>IF(G146&gt;0,G146*Plan!$D$24/100/12,0)</f>
        <v/>
      </c>
      <c r="I146" s="42">
        <f>IF(G146&lt;=0,0,MIN(G146+H146,Plan!$E$24))</f>
        <v/>
      </c>
      <c r="J146" s="44">
        <f>MAX(0,G146+H146-I146)</f>
        <v/>
      </c>
      <c r="K146" s="42">
        <f>N145</f>
        <v/>
      </c>
      <c r="L146" s="43">
        <f>IF(K146&gt;0,K146*Plan!$D$25/100/12,0)</f>
        <v/>
      </c>
      <c r="M146" s="42">
        <f>IF(K146&lt;=0,0,MIN(K146+L146,Plan!$E$25))</f>
        <v/>
      </c>
      <c r="N146" s="44">
        <f>MAX(0,K146+L146-M146)</f>
        <v/>
      </c>
      <c r="O146" s="42">
        <f>R145</f>
        <v/>
      </c>
      <c r="P146" s="43">
        <f>IF(O146&gt;0,O146*Plan!$D$26/100/12,0)</f>
        <v/>
      </c>
      <c r="Q146" s="42">
        <f>IF(O146&lt;=0,0,MIN(O146+P146,Plan!$E$26))</f>
        <v/>
      </c>
      <c r="R146" s="44">
        <f>MAX(0,O146+P146-Q146)</f>
        <v/>
      </c>
      <c r="S146" s="42">
        <f>V145</f>
        <v/>
      </c>
      <c r="T146" s="43">
        <f>IF(S146&gt;0,S146*Plan!$D$27/100/12,0)</f>
        <v/>
      </c>
      <c r="U146" s="42">
        <f>IF(S146&lt;=0,0,MIN(S146+T146,Plan!$E$27))</f>
        <v/>
      </c>
      <c r="V146" s="44">
        <f>MAX(0,S146+T146-U146)</f>
        <v/>
      </c>
      <c r="W146" s="42">
        <f>Z145</f>
        <v/>
      </c>
      <c r="X146" s="43">
        <f>IF(W146&gt;0,W146*Plan!$D$28/100/12,0)</f>
        <v/>
      </c>
      <c r="Y146" s="42">
        <f>IF(W146&lt;=0,0,MIN(W146+X146,Plan!$E$28))</f>
        <v/>
      </c>
      <c r="Z146" s="44">
        <f>MAX(0,W146+X146-Y146)</f>
        <v/>
      </c>
      <c r="AA146" s="44">
        <f>F146+J146+N146+R146+V146+Z146</f>
        <v/>
      </c>
    </row>
    <row r="147">
      <c r="A147" s="46" t="n">
        <v>140</v>
      </c>
      <c r="B147" s="47">
        <f>EDATE(Plan!$C$18,139)</f>
        <v/>
      </c>
      <c r="C147" s="48">
        <f>F146</f>
        <v/>
      </c>
      <c r="D147" s="49">
        <f>IF(C147&gt;0,C147*Plan!$D$23/100/12,0)</f>
        <v/>
      </c>
      <c r="E147" s="48">
        <f>IF(C147&lt;=0,0,MIN(C147+D147,Plan!$E$23))</f>
        <v/>
      </c>
      <c r="F147" s="50">
        <f>MAX(0,C147+D147-E147)</f>
        <v/>
      </c>
      <c r="G147" s="48">
        <f>J146</f>
        <v/>
      </c>
      <c r="H147" s="49">
        <f>IF(G147&gt;0,G147*Plan!$D$24/100/12,0)</f>
        <v/>
      </c>
      <c r="I147" s="48">
        <f>IF(G147&lt;=0,0,MIN(G147+H147,Plan!$E$24))</f>
        <v/>
      </c>
      <c r="J147" s="50">
        <f>MAX(0,G147+H147-I147)</f>
        <v/>
      </c>
      <c r="K147" s="48">
        <f>N146</f>
        <v/>
      </c>
      <c r="L147" s="49">
        <f>IF(K147&gt;0,K147*Plan!$D$25/100/12,0)</f>
        <v/>
      </c>
      <c r="M147" s="48">
        <f>IF(K147&lt;=0,0,MIN(K147+L147,Plan!$E$25))</f>
        <v/>
      </c>
      <c r="N147" s="50">
        <f>MAX(0,K147+L147-M147)</f>
        <v/>
      </c>
      <c r="O147" s="48">
        <f>R146</f>
        <v/>
      </c>
      <c r="P147" s="49">
        <f>IF(O147&gt;0,O147*Plan!$D$26/100/12,0)</f>
        <v/>
      </c>
      <c r="Q147" s="48">
        <f>IF(O147&lt;=0,0,MIN(O147+P147,Plan!$E$26))</f>
        <v/>
      </c>
      <c r="R147" s="50">
        <f>MAX(0,O147+P147-Q147)</f>
        <v/>
      </c>
      <c r="S147" s="48">
        <f>V146</f>
        <v/>
      </c>
      <c r="T147" s="49">
        <f>IF(S147&gt;0,S147*Plan!$D$27/100/12,0)</f>
        <v/>
      </c>
      <c r="U147" s="48">
        <f>IF(S147&lt;=0,0,MIN(S147+T147,Plan!$E$27))</f>
        <v/>
      </c>
      <c r="V147" s="50">
        <f>MAX(0,S147+T147-U147)</f>
        <v/>
      </c>
      <c r="W147" s="48">
        <f>Z146</f>
        <v/>
      </c>
      <c r="X147" s="49">
        <f>IF(W147&gt;0,W147*Plan!$D$28/100/12,0)</f>
        <v/>
      </c>
      <c r="Y147" s="48">
        <f>IF(W147&lt;=0,0,MIN(W147+X147,Plan!$E$28))</f>
        <v/>
      </c>
      <c r="Z147" s="50">
        <f>MAX(0,W147+X147-Y147)</f>
        <v/>
      </c>
      <c r="AA147" s="50">
        <f>F147+J147+N147+R147+V147+Z147</f>
        <v/>
      </c>
    </row>
    <row r="148">
      <c r="A148" s="40" t="n">
        <v>141</v>
      </c>
      <c r="B148" s="41">
        <f>EDATE(Plan!$C$18,140)</f>
        <v/>
      </c>
      <c r="C148" s="42">
        <f>F147</f>
        <v/>
      </c>
      <c r="D148" s="43">
        <f>IF(C148&gt;0,C148*Plan!$D$23/100/12,0)</f>
        <v/>
      </c>
      <c r="E148" s="42">
        <f>IF(C148&lt;=0,0,MIN(C148+D148,Plan!$E$23))</f>
        <v/>
      </c>
      <c r="F148" s="44">
        <f>MAX(0,C148+D148-E148)</f>
        <v/>
      </c>
      <c r="G148" s="42">
        <f>J147</f>
        <v/>
      </c>
      <c r="H148" s="43">
        <f>IF(G148&gt;0,G148*Plan!$D$24/100/12,0)</f>
        <v/>
      </c>
      <c r="I148" s="42">
        <f>IF(G148&lt;=0,0,MIN(G148+H148,Plan!$E$24))</f>
        <v/>
      </c>
      <c r="J148" s="44">
        <f>MAX(0,G148+H148-I148)</f>
        <v/>
      </c>
      <c r="K148" s="42">
        <f>N147</f>
        <v/>
      </c>
      <c r="L148" s="43">
        <f>IF(K148&gt;0,K148*Plan!$D$25/100/12,0)</f>
        <v/>
      </c>
      <c r="M148" s="42">
        <f>IF(K148&lt;=0,0,MIN(K148+L148,Plan!$E$25))</f>
        <v/>
      </c>
      <c r="N148" s="44">
        <f>MAX(0,K148+L148-M148)</f>
        <v/>
      </c>
      <c r="O148" s="42">
        <f>R147</f>
        <v/>
      </c>
      <c r="P148" s="43">
        <f>IF(O148&gt;0,O148*Plan!$D$26/100/12,0)</f>
        <v/>
      </c>
      <c r="Q148" s="42">
        <f>IF(O148&lt;=0,0,MIN(O148+P148,Plan!$E$26))</f>
        <v/>
      </c>
      <c r="R148" s="44">
        <f>MAX(0,O148+P148-Q148)</f>
        <v/>
      </c>
      <c r="S148" s="42">
        <f>V147</f>
        <v/>
      </c>
      <c r="T148" s="43">
        <f>IF(S148&gt;0,S148*Plan!$D$27/100/12,0)</f>
        <v/>
      </c>
      <c r="U148" s="42">
        <f>IF(S148&lt;=0,0,MIN(S148+T148,Plan!$E$27))</f>
        <v/>
      </c>
      <c r="V148" s="44">
        <f>MAX(0,S148+T148-U148)</f>
        <v/>
      </c>
      <c r="W148" s="42">
        <f>Z147</f>
        <v/>
      </c>
      <c r="X148" s="43">
        <f>IF(W148&gt;0,W148*Plan!$D$28/100/12,0)</f>
        <v/>
      </c>
      <c r="Y148" s="42">
        <f>IF(W148&lt;=0,0,MIN(W148+X148,Plan!$E$28))</f>
        <v/>
      </c>
      <c r="Z148" s="44">
        <f>MAX(0,W148+X148-Y148)</f>
        <v/>
      </c>
      <c r="AA148" s="44">
        <f>F148+J148+N148+R148+V148+Z148</f>
        <v/>
      </c>
    </row>
    <row r="149">
      <c r="A149" s="46" t="n">
        <v>142</v>
      </c>
      <c r="B149" s="47">
        <f>EDATE(Plan!$C$18,141)</f>
        <v/>
      </c>
      <c r="C149" s="48">
        <f>F148</f>
        <v/>
      </c>
      <c r="D149" s="49">
        <f>IF(C149&gt;0,C149*Plan!$D$23/100/12,0)</f>
        <v/>
      </c>
      <c r="E149" s="48">
        <f>IF(C149&lt;=0,0,MIN(C149+D149,Plan!$E$23))</f>
        <v/>
      </c>
      <c r="F149" s="50">
        <f>MAX(0,C149+D149-E149)</f>
        <v/>
      </c>
      <c r="G149" s="48">
        <f>J148</f>
        <v/>
      </c>
      <c r="H149" s="49">
        <f>IF(G149&gt;0,G149*Plan!$D$24/100/12,0)</f>
        <v/>
      </c>
      <c r="I149" s="48">
        <f>IF(G149&lt;=0,0,MIN(G149+H149,Plan!$E$24))</f>
        <v/>
      </c>
      <c r="J149" s="50">
        <f>MAX(0,G149+H149-I149)</f>
        <v/>
      </c>
      <c r="K149" s="48">
        <f>N148</f>
        <v/>
      </c>
      <c r="L149" s="49">
        <f>IF(K149&gt;0,K149*Plan!$D$25/100/12,0)</f>
        <v/>
      </c>
      <c r="M149" s="48">
        <f>IF(K149&lt;=0,0,MIN(K149+L149,Plan!$E$25))</f>
        <v/>
      </c>
      <c r="N149" s="50">
        <f>MAX(0,K149+L149-M149)</f>
        <v/>
      </c>
      <c r="O149" s="48">
        <f>R148</f>
        <v/>
      </c>
      <c r="P149" s="49">
        <f>IF(O149&gt;0,O149*Plan!$D$26/100/12,0)</f>
        <v/>
      </c>
      <c r="Q149" s="48">
        <f>IF(O149&lt;=0,0,MIN(O149+P149,Plan!$E$26))</f>
        <v/>
      </c>
      <c r="R149" s="50">
        <f>MAX(0,O149+P149-Q149)</f>
        <v/>
      </c>
      <c r="S149" s="48">
        <f>V148</f>
        <v/>
      </c>
      <c r="T149" s="49">
        <f>IF(S149&gt;0,S149*Plan!$D$27/100/12,0)</f>
        <v/>
      </c>
      <c r="U149" s="48">
        <f>IF(S149&lt;=0,0,MIN(S149+T149,Plan!$E$27))</f>
        <v/>
      </c>
      <c r="V149" s="50">
        <f>MAX(0,S149+T149-U149)</f>
        <v/>
      </c>
      <c r="W149" s="48">
        <f>Z148</f>
        <v/>
      </c>
      <c r="X149" s="49">
        <f>IF(W149&gt;0,W149*Plan!$D$28/100/12,0)</f>
        <v/>
      </c>
      <c r="Y149" s="48">
        <f>IF(W149&lt;=0,0,MIN(W149+X149,Plan!$E$28))</f>
        <v/>
      </c>
      <c r="Z149" s="50">
        <f>MAX(0,W149+X149-Y149)</f>
        <v/>
      </c>
      <c r="AA149" s="50">
        <f>F149+J149+N149+R149+V149+Z149</f>
        <v/>
      </c>
    </row>
    <row r="150">
      <c r="A150" s="40" t="n">
        <v>143</v>
      </c>
      <c r="B150" s="41">
        <f>EDATE(Plan!$C$18,142)</f>
        <v/>
      </c>
      <c r="C150" s="42">
        <f>F149</f>
        <v/>
      </c>
      <c r="D150" s="43">
        <f>IF(C150&gt;0,C150*Plan!$D$23/100/12,0)</f>
        <v/>
      </c>
      <c r="E150" s="42">
        <f>IF(C150&lt;=0,0,MIN(C150+D150,Plan!$E$23))</f>
        <v/>
      </c>
      <c r="F150" s="44">
        <f>MAX(0,C150+D150-E150)</f>
        <v/>
      </c>
      <c r="G150" s="42">
        <f>J149</f>
        <v/>
      </c>
      <c r="H150" s="43">
        <f>IF(G150&gt;0,G150*Plan!$D$24/100/12,0)</f>
        <v/>
      </c>
      <c r="I150" s="42">
        <f>IF(G150&lt;=0,0,MIN(G150+H150,Plan!$E$24))</f>
        <v/>
      </c>
      <c r="J150" s="44">
        <f>MAX(0,G150+H150-I150)</f>
        <v/>
      </c>
      <c r="K150" s="42">
        <f>N149</f>
        <v/>
      </c>
      <c r="L150" s="43">
        <f>IF(K150&gt;0,K150*Plan!$D$25/100/12,0)</f>
        <v/>
      </c>
      <c r="M150" s="42">
        <f>IF(K150&lt;=0,0,MIN(K150+L150,Plan!$E$25))</f>
        <v/>
      </c>
      <c r="N150" s="44">
        <f>MAX(0,K150+L150-M150)</f>
        <v/>
      </c>
      <c r="O150" s="42">
        <f>R149</f>
        <v/>
      </c>
      <c r="P150" s="43">
        <f>IF(O150&gt;0,O150*Plan!$D$26/100/12,0)</f>
        <v/>
      </c>
      <c r="Q150" s="42">
        <f>IF(O150&lt;=0,0,MIN(O150+P150,Plan!$E$26))</f>
        <v/>
      </c>
      <c r="R150" s="44">
        <f>MAX(0,O150+P150-Q150)</f>
        <v/>
      </c>
      <c r="S150" s="42">
        <f>V149</f>
        <v/>
      </c>
      <c r="T150" s="43">
        <f>IF(S150&gt;0,S150*Plan!$D$27/100/12,0)</f>
        <v/>
      </c>
      <c r="U150" s="42">
        <f>IF(S150&lt;=0,0,MIN(S150+T150,Plan!$E$27))</f>
        <v/>
      </c>
      <c r="V150" s="44">
        <f>MAX(0,S150+T150-U150)</f>
        <v/>
      </c>
      <c r="W150" s="42">
        <f>Z149</f>
        <v/>
      </c>
      <c r="X150" s="43">
        <f>IF(W150&gt;0,W150*Plan!$D$28/100/12,0)</f>
        <v/>
      </c>
      <c r="Y150" s="42">
        <f>IF(W150&lt;=0,0,MIN(W150+X150,Plan!$E$28))</f>
        <v/>
      </c>
      <c r="Z150" s="44">
        <f>MAX(0,W150+X150-Y150)</f>
        <v/>
      </c>
      <c r="AA150" s="44">
        <f>F150+J150+N150+R150+V150+Z150</f>
        <v/>
      </c>
    </row>
    <row r="151">
      <c r="A151" s="46" t="n">
        <v>144</v>
      </c>
      <c r="B151" s="47">
        <f>EDATE(Plan!$C$18,143)</f>
        <v/>
      </c>
      <c r="C151" s="48">
        <f>F150</f>
        <v/>
      </c>
      <c r="D151" s="49">
        <f>IF(C151&gt;0,C151*Plan!$D$23/100/12,0)</f>
        <v/>
      </c>
      <c r="E151" s="48">
        <f>IF(C151&lt;=0,0,MIN(C151+D151,Plan!$E$23))</f>
        <v/>
      </c>
      <c r="F151" s="50">
        <f>MAX(0,C151+D151-E151)</f>
        <v/>
      </c>
      <c r="G151" s="48">
        <f>J150</f>
        <v/>
      </c>
      <c r="H151" s="49">
        <f>IF(G151&gt;0,G151*Plan!$D$24/100/12,0)</f>
        <v/>
      </c>
      <c r="I151" s="48">
        <f>IF(G151&lt;=0,0,MIN(G151+H151,Plan!$E$24))</f>
        <v/>
      </c>
      <c r="J151" s="50">
        <f>MAX(0,G151+H151-I151)</f>
        <v/>
      </c>
      <c r="K151" s="48">
        <f>N150</f>
        <v/>
      </c>
      <c r="L151" s="49">
        <f>IF(K151&gt;0,K151*Plan!$D$25/100/12,0)</f>
        <v/>
      </c>
      <c r="M151" s="48">
        <f>IF(K151&lt;=0,0,MIN(K151+L151,Plan!$E$25))</f>
        <v/>
      </c>
      <c r="N151" s="50">
        <f>MAX(0,K151+L151-M151)</f>
        <v/>
      </c>
      <c r="O151" s="48">
        <f>R150</f>
        <v/>
      </c>
      <c r="P151" s="49">
        <f>IF(O151&gt;0,O151*Plan!$D$26/100/12,0)</f>
        <v/>
      </c>
      <c r="Q151" s="48">
        <f>IF(O151&lt;=0,0,MIN(O151+P151,Plan!$E$26))</f>
        <v/>
      </c>
      <c r="R151" s="50">
        <f>MAX(0,O151+P151-Q151)</f>
        <v/>
      </c>
      <c r="S151" s="48">
        <f>V150</f>
        <v/>
      </c>
      <c r="T151" s="49">
        <f>IF(S151&gt;0,S151*Plan!$D$27/100/12,0)</f>
        <v/>
      </c>
      <c r="U151" s="48">
        <f>IF(S151&lt;=0,0,MIN(S151+T151,Plan!$E$27))</f>
        <v/>
      </c>
      <c r="V151" s="50">
        <f>MAX(0,S151+T151-U151)</f>
        <v/>
      </c>
      <c r="W151" s="48">
        <f>Z150</f>
        <v/>
      </c>
      <c r="X151" s="49">
        <f>IF(W151&gt;0,W151*Plan!$D$28/100/12,0)</f>
        <v/>
      </c>
      <c r="Y151" s="48">
        <f>IF(W151&lt;=0,0,MIN(W151+X151,Plan!$E$28))</f>
        <v/>
      </c>
      <c r="Z151" s="50">
        <f>MAX(0,W151+X151-Y151)</f>
        <v/>
      </c>
      <c r="AA151" s="50">
        <f>F151+J151+N151+R151+V151+Z151</f>
        <v/>
      </c>
    </row>
    <row r="152">
      <c r="A152" s="40" t="n">
        <v>145</v>
      </c>
      <c r="B152" s="41">
        <f>EDATE(Plan!$C$18,144)</f>
        <v/>
      </c>
      <c r="C152" s="42">
        <f>F151</f>
        <v/>
      </c>
      <c r="D152" s="43">
        <f>IF(C152&gt;0,C152*Plan!$D$23/100/12,0)</f>
        <v/>
      </c>
      <c r="E152" s="42">
        <f>IF(C152&lt;=0,0,MIN(C152+D152,Plan!$E$23))</f>
        <v/>
      </c>
      <c r="F152" s="44">
        <f>MAX(0,C152+D152-E152)</f>
        <v/>
      </c>
      <c r="G152" s="42">
        <f>J151</f>
        <v/>
      </c>
      <c r="H152" s="43">
        <f>IF(G152&gt;0,G152*Plan!$D$24/100/12,0)</f>
        <v/>
      </c>
      <c r="I152" s="42">
        <f>IF(G152&lt;=0,0,MIN(G152+H152,Plan!$E$24))</f>
        <v/>
      </c>
      <c r="J152" s="44">
        <f>MAX(0,G152+H152-I152)</f>
        <v/>
      </c>
      <c r="K152" s="42">
        <f>N151</f>
        <v/>
      </c>
      <c r="L152" s="43">
        <f>IF(K152&gt;0,K152*Plan!$D$25/100/12,0)</f>
        <v/>
      </c>
      <c r="M152" s="42">
        <f>IF(K152&lt;=0,0,MIN(K152+L152,Plan!$E$25))</f>
        <v/>
      </c>
      <c r="N152" s="44">
        <f>MAX(0,K152+L152-M152)</f>
        <v/>
      </c>
      <c r="O152" s="42">
        <f>R151</f>
        <v/>
      </c>
      <c r="P152" s="43">
        <f>IF(O152&gt;0,O152*Plan!$D$26/100/12,0)</f>
        <v/>
      </c>
      <c r="Q152" s="42">
        <f>IF(O152&lt;=0,0,MIN(O152+P152,Plan!$E$26))</f>
        <v/>
      </c>
      <c r="R152" s="44">
        <f>MAX(0,O152+P152-Q152)</f>
        <v/>
      </c>
      <c r="S152" s="42">
        <f>V151</f>
        <v/>
      </c>
      <c r="T152" s="43">
        <f>IF(S152&gt;0,S152*Plan!$D$27/100/12,0)</f>
        <v/>
      </c>
      <c r="U152" s="42">
        <f>IF(S152&lt;=0,0,MIN(S152+T152,Plan!$E$27))</f>
        <v/>
      </c>
      <c r="V152" s="44">
        <f>MAX(0,S152+T152-U152)</f>
        <v/>
      </c>
      <c r="W152" s="42">
        <f>Z151</f>
        <v/>
      </c>
      <c r="X152" s="43">
        <f>IF(W152&gt;0,W152*Plan!$D$28/100/12,0)</f>
        <v/>
      </c>
      <c r="Y152" s="42">
        <f>IF(W152&lt;=0,0,MIN(W152+X152,Plan!$E$28))</f>
        <v/>
      </c>
      <c r="Z152" s="44">
        <f>MAX(0,W152+X152-Y152)</f>
        <v/>
      </c>
      <c r="AA152" s="44">
        <f>F152+J152+N152+R152+V152+Z152</f>
        <v/>
      </c>
    </row>
    <row r="153">
      <c r="A153" s="46" t="n">
        <v>146</v>
      </c>
      <c r="B153" s="47">
        <f>EDATE(Plan!$C$18,145)</f>
        <v/>
      </c>
      <c r="C153" s="48">
        <f>F152</f>
        <v/>
      </c>
      <c r="D153" s="49">
        <f>IF(C153&gt;0,C153*Plan!$D$23/100/12,0)</f>
        <v/>
      </c>
      <c r="E153" s="48">
        <f>IF(C153&lt;=0,0,MIN(C153+D153,Plan!$E$23))</f>
        <v/>
      </c>
      <c r="F153" s="50">
        <f>MAX(0,C153+D153-E153)</f>
        <v/>
      </c>
      <c r="G153" s="48">
        <f>J152</f>
        <v/>
      </c>
      <c r="H153" s="49">
        <f>IF(G153&gt;0,G153*Plan!$D$24/100/12,0)</f>
        <v/>
      </c>
      <c r="I153" s="48">
        <f>IF(G153&lt;=0,0,MIN(G153+H153,Plan!$E$24))</f>
        <v/>
      </c>
      <c r="J153" s="50">
        <f>MAX(0,G153+H153-I153)</f>
        <v/>
      </c>
      <c r="K153" s="48">
        <f>N152</f>
        <v/>
      </c>
      <c r="L153" s="49">
        <f>IF(K153&gt;0,K153*Plan!$D$25/100/12,0)</f>
        <v/>
      </c>
      <c r="M153" s="48">
        <f>IF(K153&lt;=0,0,MIN(K153+L153,Plan!$E$25))</f>
        <v/>
      </c>
      <c r="N153" s="50">
        <f>MAX(0,K153+L153-M153)</f>
        <v/>
      </c>
      <c r="O153" s="48">
        <f>R152</f>
        <v/>
      </c>
      <c r="P153" s="49">
        <f>IF(O153&gt;0,O153*Plan!$D$26/100/12,0)</f>
        <v/>
      </c>
      <c r="Q153" s="48">
        <f>IF(O153&lt;=0,0,MIN(O153+P153,Plan!$E$26))</f>
        <v/>
      </c>
      <c r="R153" s="50">
        <f>MAX(0,O153+P153-Q153)</f>
        <v/>
      </c>
      <c r="S153" s="48">
        <f>V152</f>
        <v/>
      </c>
      <c r="T153" s="49">
        <f>IF(S153&gt;0,S153*Plan!$D$27/100/12,0)</f>
        <v/>
      </c>
      <c r="U153" s="48">
        <f>IF(S153&lt;=0,0,MIN(S153+T153,Plan!$E$27))</f>
        <v/>
      </c>
      <c r="V153" s="50">
        <f>MAX(0,S153+T153-U153)</f>
        <v/>
      </c>
      <c r="W153" s="48">
        <f>Z152</f>
        <v/>
      </c>
      <c r="X153" s="49">
        <f>IF(W153&gt;0,W153*Plan!$D$28/100/12,0)</f>
        <v/>
      </c>
      <c r="Y153" s="48">
        <f>IF(W153&lt;=0,0,MIN(W153+X153,Plan!$E$28))</f>
        <v/>
      </c>
      <c r="Z153" s="50">
        <f>MAX(0,W153+X153-Y153)</f>
        <v/>
      </c>
      <c r="AA153" s="50">
        <f>F153+J153+N153+R153+V153+Z153</f>
        <v/>
      </c>
    </row>
    <row r="154">
      <c r="A154" s="40" t="n">
        <v>147</v>
      </c>
      <c r="B154" s="41">
        <f>EDATE(Plan!$C$18,146)</f>
        <v/>
      </c>
      <c r="C154" s="42">
        <f>F153</f>
        <v/>
      </c>
      <c r="D154" s="43">
        <f>IF(C154&gt;0,C154*Plan!$D$23/100/12,0)</f>
        <v/>
      </c>
      <c r="E154" s="42">
        <f>IF(C154&lt;=0,0,MIN(C154+D154,Plan!$E$23))</f>
        <v/>
      </c>
      <c r="F154" s="44">
        <f>MAX(0,C154+D154-E154)</f>
        <v/>
      </c>
      <c r="G154" s="42">
        <f>J153</f>
        <v/>
      </c>
      <c r="H154" s="43">
        <f>IF(G154&gt;0,G154*Plan!$D$24/100/12,0)</f>
        <v/>
      </c>
      <c r="I154" s="42">
        <f>IF(G154&lt;=0,0,MIN(G154+H154,Plan!$E$24))</f>
        <v/>
      </c>
      <c r="J154" s="44">
        <f>MAX(0,G154+H154-I154)</f>
        <v/>
      </c>
      <c r="K154" s="42">
        <f>N153</f>
        <v/>
      </c>
      <c r="L154" s="43">
        <f>IF(K154&gt;0,K154*Plan!$D$25/100/12,0)</f>
        <v/>
      </c>
      <c r="M154" s="42">
        <f>IF(K154&lt;=0,0,MIN(K154+L154,Plan!$E$25))</f>
        <v/>
      </c>
      <c r="N154" s="44">
        <f>MAX(0,K154+L154-M154)</f>
        <v/>
      </c>
      <c r="O154" s="42">
        <f>R153</f>
        <v/>
      </c>
      <c r="P154" s="43">
        <f>IF(O154&gt;0,O154*Plan!$D$26/100/12,0)</f>
        <v/>
      </c>
      <c r="Q154" s="42">
        <f>IF(O154&lt;=0,0,MIN(O154+P154,Plan!$E$26))</f>
        <v/>
      </c>
      <c r="R154" s="44">
        <f>MAX(0,O154+P154-Q154)</f>
        <v/>
      </c>
      <c r="S154" s="42">
        <f>V153</f>
        <v/>
      </c>
      <c r="T154" s="43">
        <f>IF(S154&gt;0,S154*Plan!$D$27/100/12,0)</f>
        <v/>
      </c>
      <c r="U154" s="42">
        <f>IF(S154&lt;=0,0,MIN(S154+T154,Plan!$E$27))</f>
        <v/>
      </c>
      <c r="V154" s="44">
        <f>MAX(0,S154+T154-U154)</f>
        <v/>
      </c>
      <c r="W154" s="42">
        <f>Z153</f>
        <v/>
      </c>
      <c r="X154" s="43">
        <f>IF(W154&gt;0,W154*Plan!$D$28/100/12,0)</f>
        <v/>
      </c>
      <c r="Y154" s="42">
        <f>IF(W154&lt;=0,0,MIN(W154+X154,Plan!$E$28))</f>
        <v/>
      </c>
      <c r="Z154" s="44">
        <f>MAX(0,W154+X154-Y154)</f>
        <v/>
      </c>
      <c r="AA154" s="44">
        <f>F154+J154+N154+R154+V154+Z154</f>
        <v/>
      </c>
    </row>
    <row r="155">
      <c r="A155" s="46" t="n">
        <v>148</v>
      </c>
      <c r="B155" s="47">
        <f>EDATE(Plan!$C$18,147)</f>
        <v/>
      </c>
      <c r="C155" s="48">
        <f>F154</f>
        <v/>
      </c>
      <c r="D155" s="49">
        <f>IF(C155&gt;0,C155*Plan!$D$23/100/12,0)</f>
        <v/>
      </c>
      <c r="E155" s="48">
        <f>IF(C155&lt;=0,0,MIN(C155+D155,Plan!$E$23))</f>
        <v/>
      </c>
      <c r="F155" s="50">
        <f>MAX(0,C155+D155-E155)</f>
        <v/>
      </c>
      <c r="G155" s="48">
        <f>J154</f>
        <v/>
      </c>
      <c r="H155" s="49">
        <f>IF(G155&gt;0,G155*Plan!$D$24/100/12,0)</f>
        <v/>
      </c>
      <c r="I155" s="48">
        <f>IF(G155&lt;=0,0,MIN(G155+H155,Plan!$E$24))</f>
        <v/>
      </c>
      <c r="J155" s="50">
        <f>MAX(0,G155+H155-I155)</f>
        <v/>
      </c>
      <c r="K155" s="48">
        <f>N154</f>
        <v/>
      </c>
      <c r="L155" s="49">
        <f>IF(K155&gt;0,K155*Plan!$D$25/100/12,0)</f>
        <v/>
      </c>
      <c r="M155" s="48">
        <f>IF(K155&lt;=0,0,MIN(K155+L155,Plan!$E$25))</f>
        <v/>
      </c>
      <c r="N155" s="50">
        <f>MAX(0,K155+L155-M155)</f>
        <v/>
      </c>
      <c r="O155" s="48">
        <f>R154</f>
        <v/>
      </c>
      <c r="P155" s="49">
        <f>IF(O155&gt;0,O155*Plan!$D$26/100/12,0)</f>
        <v/>
      </c>
      <c r="Q155" s="48">
        <f>IF(O155&lt;=0,0,MIN(O155+P155,Plan!$E$26))</f>
        <v/>
      </c>
      <c r="R155" s="50">
        <f>MAX(0,O155+P155-Q155)</f>
        <v/>
      </c>
      <c r="S155" s="48">
        <f>V154</f>
        <v/>
      </c>
      <c r="T155" s="49">
        <f>IF(S155&gt;0,S155*Plan!$D$27/100/12,0)</f>
        <v/>
      </c>
      <c r="U155" s="48">
        <f>IF(S155&lt;=0,0,MIN(S155+T155,Plan!$E$27))</f>
        <v/>
      </c>
      <c r="V155" s="50">
        <f>MAX(0,S155+T155-U155)</f>
        <v/>
      </c>
      <c r="W155" s="48">
        <f>Z154</f>
        <v/>
      </c>
      <c r="X155" s="49">
        <f>IF(W155&gt;0,W155*Plan!$D$28/100/12,0)</f>
        <v/>
      </c>
      <c r="Y155" s="48">
        <f>IF(W155&lt;=0,0,MIN(W155+X155,Plan!$E$28))</f>
        <v/>
      </c>
      <c r="Z155" s="50">
        <f>MAX(0,W155+X155-Y155)</f>
        <v/>
      </c>
      <c r="AA155" s="50">
        <f>F155+J155+N155+R155+V155+Z155</f>
        <v/>
      </c>
    </row>
    <row r="156">
      <c r="A156" s="40" t="n">
        <v>149</v>
      </c>
      <c r="B156" s="41">
        <f>EDATE(Plan!$C$18,148)</f>
        <v/>
      </c>
      <c r="C156" s="42">
        <f>F155</f>
        <v/>
      </c>
      <c r="D156" s="43">
        <f>IF(C156&gt;0,C156*Plan!$D$23/100/12,0)</f>
        <v/>
      </c>
      <c r="E156" s="42">
        <f>IF(C156&lt;=0,0,MIN(C156+D156,Plan!$E$23))</f>
        <v/>
      </c>
      <c r="F156" s="44">
        <f>MAX(0,C156+D156-E156)</f>
        <v/>
      </c>
      <c r="G156" s="42">
        <f>J155</f>
        <v/>
      </c>
      <c r="H156" s="43">
        <f>IF(G156&gt;0,G156*Plan!$D$24/100/12,0)</f>
        <v/>
      </c>
      <c r="I156" s="42">
        <f>IF(G156&lt;=0,0,MIN(G156+H156,Plan!$E$24))</f>
        <v/>
      </c>
      <c r="J156" s="44">
        <f>MAX(0,G156+H156-I156)</f>
        <v/>
      </c>
      <c r="K156" s="42">
        <f>N155</f>
        <v/>
      </c>
      <c r="L156" s="43">
        <f>IF(K156&gt;0,K156*Plan!$D$25/100/12,0)</f>
        <v/>
      </c>
      <c r="M156" s="42">
        <f>IF(K156&lt;=0,0,MIN(K156+L156,Plan!$E$25))</f>
        <v/>
      </c>
      <c r="N156" s="44">
        <f>MAX(0,K156+L156-M156)</f>
        <v/>
      </c>
      <c r="O156" s="42">
        <f>R155</f>
        <v/>
      </c>
      <c r="P156" s="43">
        <f>IF(O156&gt;0,O156*Plan!$D$26/100/12,0)</f>
        <v/>
      </c>
      <c r="Q156" s="42">
        <f>IF(O156&lt;=0,0,MIN(O156+P156,Plan!$E$26))</f>
        <v/>
      </c>
      <c r="R156" s="44">
        <f>MAX(0,O156+P156-Q156)</f>
        <v/>
      </c>
      <c r="S156" s="42">
        <f>V155</f>
        <v/>
      </c>
      <c r="T156" s="43">
        <f>IF(S156&gt;0,S156*Plan!$D$27/100/12,0)</f>
        <v/>
      </c>
      <c r="U156" s="42">
        <f>IF(S156&lt;=0,0,MIN(S156+T156,Plan!$E$27))</f>
        <v/>
      </c>
      <c r="V156" s="44">
        <f>MAX(0,S156+T156-U156)</f>
        <v/>
      </c>
      <c r="W156" s="42">
        <f>Z155</f>
        <v/>
      </c>
      <c r="X156" s="43">
        <f>IF(W156&gt;0,W156*Plan!$D$28/100/12,0)</f>
        <v/>
      </c>
      <c r="Y156" s="42">
        <f>IF(W156&lt;=0,0,MIN(W156+X156,Plan!$E$28))</f>
        <v/>
      </c>
      <c r="Z156" s="44">
        <f>MAX(0,W156+X156-Y156)</f>
        <v/>
      </c>
      <c r="AA156" s="44">
        <f>F156+J156+N156+R156+V156+Z156</f>
        <v/>
      </c>
    </row>
    <row r="157">
      <c r="A157" s="46" t="n">
        <v>150</v>
      </c>
      <c r="B157" s="47">
        <f>EDATE(Plan!$C$18,149)</f>
        <v/>
      </c>
      <c r="C157" s="48">
        <f>F156</f>
        <v/>
      </c>
      <c r="D157" s="49">
        <f>IF(C157&gt;0,C157*Plan!$D$23/100/12,0)</f>
        <v/>
      </c>
      <c r="E157" s="48">
        <f>IF(C157&lt;=0,0,MIN(C157+D157,Plan!$E$23))</f>
        <v/>
      </c>
      <c r="F157" s="50">
        <f>MAX(0,C157+D157-E157)</f>
        <v/>
      </c>
      <c r="G157" s="48">
        <f>J156</f>
        <v/>
      </c>
      <c r="H157" s="49">
        <f>IF(G157&gt;0,G157*Plan!$D$24/100/12,0)</f>
        <v/>
      </c>
      <c r="I157" s="48">
        <f>IF(G157&lt;=0,0,MIN(G157+H157,Plan!$E$24))</f>
        <v/>
      </c>
      <c r="J157" s="50">
        <f>MAX(0,G157+H157-I157)</f>
        <v/>
      </c>
      <c r="K157" s="48">
        <f>N156</f>
        <v/>
      </c>
      <c r="L157" s="49">
        <f>IF(K157&gt;0,K157*Plan!$D$25/100/12,0)</f>
        <v/>
      </c>
      <c r="M157" s="48">
        <f>IF(K157&lt;=0,0,MIN(K157+L157,Plan!$E$25))</f>
        <v/>
      </c>
      <c r="N157" s="50">
        <f>MAX(0,K157+L157-M157)</f>
        <v/>
      </c>
      <c r="O157" s="48">
        <f>R156</f>
        <v/>
      </c>
      <c r="P157" s="49">
        <f>IF(O157&gt;0,O157*Plan!$D$26/100/12,0)</f>
        <v/>
      </c>
      <c r="Q157" s="48">
        <f>IF(O157&lt;=0,0,MIN(O157+P157,Plan!$E$26))</f>
        <v/>
      </c>
      <c r="R157" s="50">
        <f>MAX(0,O157+P157-Q157)</f>
        <v/>
      </c>
      <c r="S157" s="48">
        <f>V156</f>
        <v/>
      </c>
      <c r="T157" s="49">
        <f>IF(S157&gt;0,S157*Plan!$D$27/100/12,0)</f>
        <v/>
      </c>
      <c r="U157" s="48">
        <f>IF(S157&lt;=0,0,MIN(S157+T157,Plan!$E$27))</f>
        <v/>
      </c>
      <c r="V157" s="50">
        <f>MAX(0,S157+T157-U157)</f>
        <v/>
      </c>
      <c r="W157" s="48">
        <f>Z156</f>
        <v/>
      </c>
      <c r="X157" s="49">
        <f>IF(W157&gt;0,W157*Plan!$D$28/100/12,0)</f>
        <v/>
      </c>
      <c r="Y157" s="48">
        <f>IF(W157&lt;=0,0,MIN(W157+X157,Plan!$E$28))</f>
        <v/>
      </c>
      <c r="Z157" s="50">
        <f>MAX(0,W157+X157-Y157)</f>
        <v/>
      </c>
      <c r="AA157" s="50">
        <f>F157+J157+N157+R157+V157+Z157</f>
        <v/>
      </c>
    </row>
    <row r="158">
      <c r="A158" s="40" t="n">
        <v>151</v>
      </c>
      <c r="B158" s="41">
        <f>EDATE(Plan!$C$18,150)</f>
        <v/>
      </c>
      <c r="C158" s="42">
        <f>F157</f>
        <v/>
      </c>
      <c r="D158" s="43">
        <f>IF(C158&gt;0,C158*Plan!$D$23/100/12,0)</f>
        <v/>
      </c>
      <c r="E158" s="42">
        <f>IF(C158&lt;=0,0,MIN(C158+D158,Plan!$E$23))</f>
        <v/>
      </c>
      <c r="F158" s="44">
        <f>MAX(0,C158+D158-E158)</f>
        <v/>
      </c>
      <c r="G158" s="42">
        <f>J157</f>
        <v/>
      </c>
      <c r="H158" s="43">
        <f>IF(G158&gt;0,G158*Plan!$D$24/100/12,0)</f>
        <v/>
      </c>
      <c r="I158" s="42">
        <f>IF(G158&lt;=0,0,MIN(G158+H158,Plan!$E$24))</f>
        <v/>
      </c>
      <c r="J158" s="44">
        <f>MAX(0,G158+H158-I158)</f>
        <v/>
      </c>
      <c r="K158" s="42">
        <f>N157</f>
        <v/>
      </c>
      <c r="L158" s="43">
        <f>IF(K158&gt;0,K158*Plan!$D$25/100/12,0)</f>
        <v/>
      </c>
      <c r="M158" s="42">
        <f>IF(K158&lt;=0,0,MIN(K158+L158,Plan!$E$25))</f>
        <v/>
      </c>
      <c r="N158" s="44">
        <f>MAX(0,K158+L158-M158)</f>
        <v/>
      </c>
      <c r="O158" s="42">
        <f>R157</f>
        <v/>
      </c>
      <c r="P158" s="43">
        <f>IF(O158&gt;0,O158*Plan!$D$26/100/12,0)</f>
        <v/>
      </c>
      <c r="Q158" s="42">
        <f>IF(O158&lt;=0,0,MIN(O158+P158,Plan!$E$26))</f>
        <v/>
      </c>
      <c r="R158" s="44">
        <f>MAX(0,O158+P158-Q158)</f>
        <v/>
      </c>
      <c r="S158" s="42">
        <f>V157</f>
        <v/>
      </c>
      <c r="T158" s="43">
        <f>IF(S158&gt;0,S158*Plan!$D$27/100/12,0)</f>
        <v/>
      </c>
      <c r="U158" s="42">
        <f>IF(S158&lt;=0,0,MIN(S158+T158,Plan!$E$27))</f>
        <v/>
      </c>
      <c r="V158" s="44">
        <f>MAX(0,S158+T158-U158)</f>
        <v/>
      </c>
      <c r="W158" s="42">
        <f>Z157</f>
        <v/>
      </c>
      <c r="X158" s="43">
        <f>IF(W158&gt;0,W158*Plan!$D$28/100/12,0)</f>
        <v/>
      </c>
      <c r="Y158" s="42">
        <f>IF(W158&lt;=0,0,MIN(W158+X158,Plan!$E$28))</f>
        <v/>
      </c>
      <c r="Z158" s="44">
        <f>MAX(0,W158+X158-Y158)</f>
        <v/>
      </c>
      <c r="AA158" s="44">
        <f>F158+J158+N158+R158+V158+Z158</f>
        <v/>
      </c>
    </row>
    <row r="159">
      <c r="A159" s="46" t="n">
        <v>152</v>
      </c>
      <c r="B159" s="47">
        <f>EDATE(Plan!$C$18,151)</f>
        <v/>
      </c>
      <c r="C159" s="48">
        <f>F158</f>
        <v/>
      </c>
      <c r="D159" s="49">
        <f>IF(C159&gt;0,C159*Plan!$D$23/100/12,0)</f>
        <v/>
      </c>
      <c r="E159" s="48">
        <f>IF(C159&lt;=0,0,MIN(C159+D159,Plan!$E$23))</f>
        <v/>
      </c>
      <c r="F159" s="50">
        <f>MAX(0,C159+D159-E159)</f>
        <v/>
      </c>
      <c r="G159" s="48">
        <f>J158</f>
        <v/>
      </c>
      <c r="H159" s="49">
        <f>IF(G159&gt;0,G159*Plan!$D$24/100/12,0)</f>
        <v/>
      </c>
      <c r="I159" s="48">
        <f>IF(G159&lt;=0,0,MIN(G159+H159,Plan!$E$24))</f>
        <v/>
      </c>
      <c r="J159" s="50">
        <f>MAX(0,G159+H159-I159)</f>
        <v/>
      </c>
      <c r="K159" s="48">
        <f>N158</f>
        <v/>
      </c>
      <c r="L159" s="49">
        <f>IF(K159&gt;0,K159*Plan!$D$25/100/12,0)</f>
        <v/>
      </c>
      <c r="M159" s="48">
        <f>IF(K159&lt;=0,0,MIN(K159+L159,Plan!$E$25))</f>
        <v/>
      </c>
      <c r="N159" s="50">
        <f>MAX(0,K159+L159-M159)</f>
        <v/>
      </c>
      <c r="O159" s="48">
        <f>R158</f>
        <v/>
      </c>
      <c r="P159" s="49">
        <f>IF(O159&gt;0,O159*Plan!$D$26/100/12,0)</f>
        <v/>
      </c>
      <c r="Q159" s="48">
        <f>IF(O159&lt;=0,0,MIN(O159+P159,Plan!$E$26))</f>
        <v/>
      </c>
      <c r="R159" s="50">
        <f>MAX(0,O159+P159-Q159)</f>
        <v/>
      </c>
      <c r="S159" s="48">
        <f>V158</f>
        <v/>
      </c>
      <c r="T159" s="49">
        <f>IF(S159&gt;0,S159*Plan!$D$27/100/12,0)</f>
        <v/>
      </c>
      <c r="U159" s="48">
        <f>IF(S159&lt;=0,0,MIN(S159+T159,Plan!$E$27))</f>
        <v/>
      </c>
      <c r="V159" s="50">
        <f>MAX(0,S159+T159-U159)</f>
        <v/>
      </c>
      <c r="W159" s="48">
        <f>Z158</f>
        <v/>
      </c>
      <c r="X159" s="49">
        <f>IF(W159&gt;0,W159*Plan!$D$28/100/12,0)</f>
        <v/>
      </c>
      <c r="Y159" s="48">
        <f>IF(W159&lt;=0,0,MIN(W159+X159,Plan!$E$28))</f>
        <v/>
      </c>
      <c r="Z159" s="50">
        <f>MAX(0,W159+X159-Y159)</f>
        <v/>
      </c>
      <c r="AA159" s="50">
        <f>F159+J159+N159+R159+V159+Z159</f>
        <v/>
      </c>
    </row>
    <row r="160">
      <c r="A160" s="40" t="n">
        <v>153</v>
      </c>
      <c r="B160" s="41">
        <f>EDATE(Plan!$C$18,152)</f>
        <v/>
      </c>
      <c r="C160" s="42">
        <f>F159</f>
        <v/>
      </c>
      <c r="D160" s="43">
        <f>IF(C160&gt;0,C160*Plan!$D$23/100/12,0)</f>
        <v/>
      </c>
      <c r="E160" s="42">
        <f>IF(C160&lt;=0,0,MIN(C160+D160,Plan!$E$23))</f>
        <v/>
      </c>
      <c r="F160" s="44">
        <f>MAX(0,C160+D160-E160)</f>
        <v/>
      </c>
      <c r="G160" s="42">
        <f>J159</f>
        <v/>
      </c>
      <c r="H160" s="43">
        <f>IF(G160&gt;0,G160*Plan!$D$24/100/12,0)</f>
        <v/>
      </c>
      <c r="I160" s="42">
        <f>IF(G160&lt;=0,0,MIN(G160+H160,Plan!$E$24))</f>
        <v/>
      </c>
      <c r="J160" s="44">
        <f>MAX(0,G160+H160-I160)</f>
        <v/>
      </c>
      <c r="K160" s="42">
        <f>N159</f>
        <v/>
      </c>
      <c r="L160" s="43">
        <f>IF(K160&gt;0,K160*Plan!$D$25/100/12,0)</f>
        <v/>
      </c>
      <c r="M160" s="42">
        <f>IF(K160&lt;=0,0,MIN(K160+L160,Plan!$E$25))</f>
        <v/>
      </c>
      <c r="N160" s="44">
        <f>MAX(0,K160+L160-M160)</f>
        <v/>
      </c>
      <c r="O160" s="42">
        <f>R159</f>
        <v/>
      </c>
      <c r="P160" s="43">
        <f>IF(O160&gt;0,O160*Plan!$D$26/100/12,0)</f>
        <v/>
      </c>
      <c r="Q160" s="42">
        <f>IF(O160&lt;=0,0,MIN(O160+P160,Plan!$E$26))</f>
        <v/>
      </c>
      <c r="R160" s="44">
        <f>MAX(0,O160+P160-Q160)</f>
        <v/>
      </c>
      <c r="S160" s="42">
        <f>V159</f>
        <v/>
      </c>
      <c r="T160" s="43">
        <f>IF(S160&gt;0,S160*Plan!$D$27/100/12,0)</f>
        <v/>
      </c>
      <c r="U160" s="42">
        <f>IF(S160&lt;=0,0,MIN(S160+T160,Plan!$E$27))</f>
        <v/>
      </c>
      <c r="V160" s="44">
        <f>MAX(0,S160+T160-U160)</f>
        <v/>
      </c>
      <c r="W160" s="42">
        <f>Z159</f>
        <v/>
      </c>
      <c r="X160" s="43">
        <f>IF(W160&gt;0,W160*Plan!$D$28/100/12,0)</f>
        <v/>
      </c>
      <c r="Y160" s="42">
        <f>IF(W160&lt;=0,0,MIN(W160+X160,Plan!$E$28))</f>
        <v/>
      </c>
      <c r="Z160" s="44">
        <f>MAX(0,W160+X160-Y160)</f>
        <v/>
      </c>
      <c r="AA160" s="44">
        <f>F160+J160+N160+R160+V160+Z160</f>
        <v/>
      </c>
    </row>
    <row r="161">
      <c r="A161" s="46" t="n">
        <v>154</v>
      </c>
      <c r="B161" s="47">
        <f>EDATE(Plan!$C$18,153)</f>
        <v/>
      </c>
      <c r="C161" s="48">
        <f>F160</f>
        <v/>
      </c>
      <c r="D161" s="49">
        <f>IF(C161&gt;0,C161*Plan!$D$23/100/12,0)</f>
        <v/>
      </c>
      <c r="E161" s="48">
        <f>IF(C161&lt;=0,0,MIN(C161+D161,Plan!$E$23))</f>
        <v/>
      </c>
      <c r="F161" s="50">
        <f>MAX(0,C161+D161-E161)</f>
        <v/>
      </c>
      <c r="G161" s="48">
        <f>J160</f>
        <v/>
      </c>
      <c r="H161" s="49">
        <f>IF(G161&gt;0,G161*Plan!$D$24/100/12,0)</f>
        <v/>
      </c>
      <c r="I161" s="48">
        <f>IF(G161&lt;=0,0,MIN(G161+H161,Plan!$E$24))</f>
        <v/>
      </c>
      <c r="J161" s="50">
        <f>MAX(0,G161+H161-I161)</f>
        <v/>
      </c>
      <c r="K161" s="48">
        <f>N160</f>
        <v/>
      </c>
      <c r="L161" s="49">
        <f>IF(K161&gt;0,K161*Plan!$D$25/100/12,0)</f>
        <v/>
      </c>
      <c r="M161" s="48">
        <f>IF(K161&lt;=0,0,MIN(K161+L161,Plan!$E$25))</f>
        <v/>
      </c>
      <c r="N161" s="50">
        <f>MAX(0,K161+L161-M161)</f>
        <v/>
      </c>
      <c r="O161" s="48">
        <f>R160</f>
        <v/>
      </c>
      <c r="P161" s="49">
        <f>IF(O161&gt;0,O161*Plan!$D$26/100/12,0)</f>
        <v/>
      </c>
      <c r="Q161" s="48">
        <f>IF(O161&lt;=0,0,MIN(O161+P161,Plan!$E$26))</f>
        <v/>
      </c>
      <c r="R161" s="50">
        <f>MAX(0,O161+P161-Q161)</f>
        <v/>
      </c>
      <c r="S161" s="48">
        <f>V160</f>
        <v/>
      </c>
      <c r="T161" s="49">
        <f>IF(S161&gt;0,S161*Plan!$D$27/100/12,0)</f>
        <v/>
      </c>
      <c r="U161" s="48">
        <f>IF(S161&lt;=0,0,MIN(S161+T161,Plan!$E$27))</f>
        <v/>
      </c>
      <c r="V161" s="50">
        <f>MAX(0,S161+T161-U161)</f>
        <v/>
      </c>
      <c r="W161" s="48">
        <f>Z160</f>
        <v/>
      </c>
      <c r="X161" s="49">
        <f>IF(W161&gt;0,W161*Plan!$D$28/100/12,0)</f>
        <v/>
      </c>
      <c r="Y161" s="48">
        <f>IF(W161&lt;=0,0,MIN(W161+X161,Plan!$E$28))</f>
        <v/>
      </c>
      <c r="Z161" s="50">
        <f>MAX(0,W161+X161-Y161)</f>
        <v/>
      </c>
      <c r="AA161" s="50">
        <f>F161+J161+N161+R161+V161+Z161</f>
        <v/>
      </c>
    </row>
    <row r="162">
      <c r="A162" s="40" t="n">
        <v>155</v>
      </c>
      <c r="B162" s="41">
        <f>EDATE(Plan!$C$18,154)</f>
        <v/>
      </c>
      <c r="C162" s="42">
        <f>F161</f>
        <v/>
      </c>
      <c r="D162" s="43">
        <f>IF(C162&gt;0,C162*Plan!$D$23/100/12,0)</f>
        <v/>
      </c>
      <c r="E162" s="42">
        <f>IF(C162&lt;=0,0,MIN(C162+D162,Plan!$E$23))</f>
        <v/>
      </c>
      <c r="F162" s="44">
        <f>MAX(0,C162+D162-E162)</f>
        <v/>
      </c>
      <c r="G162" s="42">
        <f>J161</f>
        <v/>
      </c>
      <c r="H162" s="43">
        <f>IF(G162&gt;0,G162*Plan!$D$24/100/12,0)</f>
        <v/>
      </c>
      <c r="I162" s="42">
        <f>IF(G162&lt;=0,0,MIN(G162+H162,Plan!$E$24))</f>
        <v/>
      </c>
      <c r="J162" s="44">
        <f>MAX(0,G162+H162-I162)</f>
        <v/>
      </c>
      <c r="K162" s="42">
        <f>N161</f>
        <v/>
      </c>
      <c r="L162" s="43">
        <f>IF(K162&gt;0,K162*Plan!$D$25/100/12,0)</f>
        <v/>
      </c>
      <c r="M162" s="42">
        <f>IF(K162&lt;=0,0,MIN(K162+L162,Plan!$E$25))</f>
        <v/>
      </c>
      <c r="N162" s="44">
        <f>MAX(0,K162+L162-M162)</f>
        <v/>
      </c>
      <c r="O162" s="42">
        <f>R161</f>
        <v/>
      </c>
      <c r="P162" s="43">
        <f>IF(O162&gt;0,O162*Plan!$D$26/100/12,0)</f>
        <v/>
      </c>
      <c r="Q162" s="42">
        <f>IF(O162&lt;=0,0,MIN(O162+P162,Plan!$E$26))</f>
        <v/>
      </c>
      <c r="R162" s="44">
        <f>MAX(0,O162+P162-Q162)</f>
        <v/>
      </c>
      <c r="S162" s="42">
        <f>V161</f>
        <v/>
      </c>
      <c r="T162" s="43">
        <f>IF(S162&gt;0,S162*Plan!$D$27/100/12,0)</f>
        <v/>
      </c>
      <c r="U162" s="42">
        <f>IF(S162&lt;=0,0,MIN(S162+T162,Plan!$E$27))</f>
        <v/>
      </c>
      <c r="V162" s="44">
        <f>MAX(0,S162+T162-U162)</f>
        <v/>
      </c>
      <c r="W162" s="42">
        <f>Z161</f>
        <v/>
      </c>
      <c r="X162" s="43">
        <f>IF(W162&gt;0,W162*Plan!$D$28/100/12,0)</f>
        <v/>
      </c>
      <c r="Y162" s="42">
        <f>IF(W162&lt;=0,0,MIN(W162+X162,Plan!$E$28))</f>
        <v/>
      </c>
      <c r="Z162" s="44">
        <f>MAX(0,W162+X162-Y162)</f>
        <v/>
      </c>
      <c r="AA162" s="44">
        <f>F162+J162+N162+R162+V162+Z162</f>
        <v/>
      </c>
    </row>
    <row r="163">
      <c r="A163" s="46" t="n">
        <v>156</v>
      </c>
      <c r="B163" s="47">
        <f>EDATE(Plan!$C$18,155)</f>
        <v/>
      </c>
      <c r="C163" s="48">
        <f>F162</f>
        <v/>
      </c>
      <c r="D163" s="49">
        <f>IF(C163&gt;0,C163*Plan!$D$23/100/12,0)</f>
        <v/>
      </c>
      <c r="E163" s="48">
        <f>IF(C163&lt;=0,0,MIN(C163+D163,Plan!$E$23))</f>
        <v/>
      </c>
      <c r="F163" s="50">
        <f>MAX(0,C163+D163-E163)</f>
        <v/>
      </c>
      <c r="G163" s="48">
        <f>J162</f>
        <v/>
      </c>
      <c r="H163" s="49">
        <f>IF(G163&gt;0,G163*Plan!$D$24/100/12,0)</f>
        <v/>
      </c>
      <c r="I163" s="48">
        <f>IF(G163&lt;=0,0,MIN(G163+H163,Plan!$E$24))</f>
        <v/>
      </c>
      <c r="J163" s="50">
        <f>MAX(0,G163+H163-I163)</f>
        <v/>
      </c>
      <c r="K163" s="48">
        <f>N162</f>
        <v/>
      </c>
      <c r="L163" s="49">
        <f>IF(K163&gt;0,K163*Plan!$D$25/100/12,0)</f>
        <v/>
      </c>
      <c r="M163" s="48">
        <f>IF(K163&lt;=0,0,MIN(K163+L163,Plan!$E$25))</f>
        <v/>
      </c>
      <c r="N163" s="50">
        <f>MAX(0,K163+L163-M163)</f>
        <v/>
      </c>
      <c r="O163" s="48">
        <f>R162</f>
        <v/>
      </c>
      <c r="P163" s="49">
        <f>IF(O163&gt;0,O163*Plan!$D$26/100/12,0)</f>
        <v/>
      </c>
      <c r="Q163" s="48">
        <f>IF(O163&lt;=0,0,MIN(O163+P163,Plan!$E$26))</f>
        <v/>
      </c>
      <c r="R163" s="50">
        <f>MAX(0,O163+P163-Q163)</f>
        <v/>
      </c>
      <c r="S163" s="48">
        <f>V162</f>
        <v/>
      </c>
      <c r="T163" s="49">
        <f>IF(S163&gt;0,S163*Plan!$D$27/100/12,0)</f>
        <v/>
      </c>
      <c r="U163" s="48">
        <f>IF(S163&lt;=0,0,MIN(S163+T163,Plan!$E$27))</f>
        <v/>
      </c>
      <c r="V163" s="50">
        <f>MAX(0,S163+T163-U163)</f>
        <v/>
      </c>
      <c r="W163" s="48">
        <f>Z162</f>
        <v/>
      </c>
      <c r="X163" s="49">
        <f>IF(W163&gt;0,W163*Plan!$D$28/100/12,0)</f>
        <v/>
      </c>
      <c r="Y163" s="48">
        <f>IF(W163&lt;=0,0,MIN(W163+X163,Plan!$E$28))</f>
        <v/>
      </c>
      <c r="Z163" s="50">
        <f>MAX(0,W163+X163-Y163)</f>
        <v/>
      </c>
      <c r="AA163" s="50">
        <f>F163+J163+N163+R163+V163+Z163</f>
        <v/>
      </c>
    </row>
    <row r="164">
      <c r="A164" s="40" t="n">
        <v>157</v>
      </c>
      <c r="B164" s="41">
        <f>EDATE(Plan!$C$18,156)</f>
        <v/>
      </c>
      <c r="C164" s="42">
        <f>F163</f>
        <v/>
      </c>
      <c r="D164" s="43">
        <f>IF(C164&gt;0,C164*Plan!$D$23/100/12,0)</f>
        <v/>
      </c>
      <c r="E164" s="42">
        <f>IF(C164&lt;=0,0,MIN(C164+D164,Plan!$E$23))</f>
        <v/>
      </c>
      <c r="F164" s="44">
        <f>MAX(0,C164+D164-E164)</f>
        <v/>
      </c>
      <c r="G164" s="42">
        <f>J163</f>
        <v/>
      </c>
      <c r="H164" s="43">
        <f>IF(G164&gt;0,G164*Plan!$D$24/100/12,0)</f>
        <v/>
      </c>
      <c r="I164" s="42">
        <f>IF(G164&lt;=0,0,MIN(G164+H164,Plan!$E$24))</f>
        <v/>
      </c>
      <c r="J164" s="44">
        <f>MAX(0,G164+H164-I164)</f>
        <v/>
      </c>
      <c r="K164" s="42">
        <f>N163</f>
        <v/>
      </c>
      <c r="L164" s="43">
        <f>IF(K164&gt;0,K164*Plan!$D$25/100/12,0)</f>
        <v/>
      </c>
      <c r="M164" s="42">
        <f>IF(K164&lt;=0,0,MIN(K164+L164,Plan!$E$25))</f>
        <v/>
      </c>
      <c r="N164" s="44">
        <f>MAX(0,K164+L164-M164)</f>
        <v/>
      </c>
      <c r="O164" s="42">
        <f>R163</f>
        <v/>
      </c>
      <c r="P164" s="43">
        <f>IF(O164&gt;0,O164*Plan!$D$26/100/12,0)</f>
        <v/>
      </c>
      <c r="Q164" s="42">
        <f>IF(O164&lt;=0,0,MIN(O164+P164,Plan!$E$26))</f>
        <v/>
      </c>
      <c r="R164" s="44">
        <f>MAX(0,O164+P164-Q164)</f>
        <v/>
      </c>
      <c r="S164" s="42">
        <f>V163</f>
        <v/>
      </c>
      <c r="T164" s="43">
        <f>IF(S164&gt;0,S164*Plan!$D$27/100/12,0)</f>
        <v/>
      </c>
      <c r="U164" s="42">
        <f>IF(S164&lt;=0,0,MIN(S164+T164,Plan!$E$27))</f>
        <v/>
      </c>
      <c r="V164" s="44">
        <f>MAX(0,S164+T164-U164)</f>
        <v/>
      </c>
      <c r="W164" s="42">
        <f>Z163</f>
        <v/>
      </c>
      <c r="X164" s="43">
        <f>IF(W164&gt;0,W164*Plan!$D$28/100/12,0)</f>
        <v/>
      </c>
      <c r="Y164" s="42">
        <f>IF(W164&lt;=0,0,MIN(W164+X164,Plan!$E$28))</f>
        <v/>
      </c>
      <c r="Z164" s="44">
        <f>MAX(0,W164+X164-Y164)</f>
        <v/>
      </c>
      <c r="AA164" s="44">
        <f>F164+J164+N164+R164+V164+Z164</f>
        <v/>
      </c>
    </row>
    <row r="165">
      <c r="A165" s="46" t="n">
        <v>158</v>
      </c>
      <c r="B165" s="47">
        <f>EDATE(Plan!$C$18,157)</f>
        <v/>
      </c>
      <c r="C165" s="48">
        <f>F164</f>
        <v/>
      </c>
      <c r="D165" s="49">
        <f>IF(C165&gt;0,C165*Plan!$D$23/100/12,0)</f>
        <v/>
      </c>
      <c r="E165" s="48">
        <f>IF(C165&lt;=0,0,MIN(C165+D165,Plan!$E$23))</f>
        <v/>
      </c>
      <c r="F165" s="50">
        <f>MAX(0,C165+D165-E165)</f>
        <v/>
      </c>
      <c r="G165" s="48">
        <f>J164</f>
        <v/>
      </c>
      <c r="H165" s="49">
        <f>IF(G165&gt;0,G165*Plan!$D$24/100/12,0)</f>
        <v/>
      </c>
      <c r="I165" s="48">
        <f>IF(G165&lt;=0,0,MIN(G165+H165,Plan!$E$24))</f>
        <v/>
      </c>
      <c r="J165" s="50">
        <f>MAX(0,G165+H165-I165)</f>
        <v/>
      </c>
      <c r="K165" s="48">
        <f>N164</f>
        <v/>
      </c>
      <c r="L165" s="49">
        <f>IF(K165&gt;0,K165*Plan!$D$25/100/12,0)</f>
        <v/>
      </c>
      <c r="M165" s="48">
        <f>IF(K165&lt;=0,0,MIN(K165+L165,Plan!$E$25))</f>
        <v/>
      </c>
      <c r="N165" s="50">
        <f>MAX(0,K165+L165-M165)</f>
        <v/>
      </c>
      <c r="O165" s="48">
        <f>R164</f>
        <v/>
      </c>
      <c r="P165" s="49">
        <f>IF(O165&gt;0,O165*Plan!$D$26/100/12,0)</f>
        <v/>
      </c>
      <c r="Q165" s="48">
        <f>IF(O165&lt;=0,0,MIN(O165+P165,Plan!$E$26))</f>
        <v/>
      </c>
      <c r="R165" s="50">
        <f>MAX(0,O165+P165-Q165)</f>
        <v/>
      </c>
      <c r="S165" s="48">
        <f>V164</f>
        <v/>
      </c>
      <c r="T165" s="49">
        <f>IF(S165&gt;0,S165*Plan!$D$27/100/12,0)</f>
        <v/>
      </c>
      <c r="U165" s="48">
        <f>IF(S165&lt;=0,0,MIN(S165+T165,Plan!$E$27))</f>
        <v/>
      </c>
      <c r="V165" s="50">
        <f>MAX(0,S165+T165-U165)</f>
        <v/>
      </c>
      <c r="W165" s="48">
        <f>Z164</f>
        <v/>
      </c>
      <c r="X165" s="49">
        <f>IF(W165&gt;0,W165*Plan!$D$28/100/12,0)</f>
        <v/>
      </c>
      <c r="Y165" s="48">
        <f>IF(W165&lt;=0,0,MIN(W165+X165,Plan!$E$28))</f>
        <v/>
      </c>
      <c r="Z165" s="50">
        <f>MAX(0,W165+X165-Y165)</f>
        <v/>
      </c>
      <c r="AA165" s="50">
        <f>F165+J165+N165+R165+V165+Z165</f>
        <v/>
      </c>
    </row>
    <row r="166">
      <c r="A166" s="40" t="n">
        <v>159</v>
      </c>
      <c r="B166" s="41">
        <f>EDATE(Plan!$C$18,158)</f>
        <v/>
      </c>
      <c r="C166" s="42">
        <f>F165</f>
        <v/>
      </c>
      <c r="D166" s="43">
        <f>IF(C166&gt;0,C166*Plan!$D$23/100/12,0)</f>
        <v/>
      </c>
      <c r="E166" s="42">
        <f>IF(C166&lt;=0,0,MIN(C166+D166,Plan!$E$23))</f>
        <v/>
      </c>
      <c r="F166" s="44">
        <f>MAX(0,C166+D166-E166)</f>
        <v/>
      </c>
      <c r="G166" s="42">
        <f>J165</f>
        <v/>
      </c>
      <c r="H166" s="43">
        <f>IF(G166&gt;0,G166*Plan!$D$24/100/12,0)</f>
        <v/>
      </c>
      <c r="I166" s="42">
        <f>IF(G166&lt;=0,0,MIN(G166+H166,Plan!$E$24))</f>
        <v/>
      </c>
      <c r="J166" s="44">
        <f>MAX(0,G166+H166-I166)</f>
        <v/>
      </c>
      <c r="K166" s="42">
        <f>N165</f>
        <v/>
      </c>
      <c r="L166" s="43">
        <f>IF(K166&gt;0,K166*Plan!$D$25/100/12,0)</f>
        <v/>
      </c>
      <c r="M166" s="42">
        <f>IF(K166&lt;=0,0,MIN(K166+L166,Plan!$E$25))</f>
        <v/>
      </c>
      <c r="N166" s="44">
        <f>MAX(0,K166+L166-M166)</f>
        <v/>
      </c>
      <c r="O166" s="42">
        <f>R165</f>
        <v/>
      </c>
      <c r="P166" s="43">
        <f>IF(O166&gt;0,O166*Plan!$D$26/100/12,0)</f>
        <v/>
      </c>
      <c r="Q166" s="42">
        <f>IF(O166&lt;=0,0,MIN(O166+P166,Plan!$E$26))</f>
        <v/>
      </c>
      <c r="R166" s="44">
        <f>MAX(0,O166+P166-Q166)</f>
        <v/>
      </c>
      <c r="S166" s="42">
        <f>V165</f>
        <v/>
      </c>
      <c r="T166" s="43">
        <f>IF(S166&gt;0,S166*Plan!$D$27/100/12,0)</f>
        <v/>
      </c>
      <c r="U166" s="42">
        <f>IF(S166&lt;=0,0,MIN(S166+T166,Plan!$E$27))</f>
        <v/>
      </c>
      <c r="V166" s="44">
        <f>MAX(0,S166+T166-U166)</f>
        <v/>
      </c>
      <c r="W166" s="42">
        <f>Z165</f>
        <v/>
      </c>
      <c r="X166" s="43">
        <f>IF(W166&gt;0,W166*Plan!$D$28/100/12,0)</f>
        <v/>
      </c>
      <c r="Y166" s="42">
        <f>IF(W166&lt;=0,0,MIN(W166+X166,Plan!$E$28))</f>
        <v/>
      </c>
      <c r="Z166" s="44">
        <f>MAX(0,W166+X166-Y166)</f>
        <v/>
      </c>
      <c r="AA166" s="44">
        <f>F166+J166+N166+R166+V166+Z166</f>
        <v/>
      </c>
    </row>
    <row r="167">
      <c r="A167" s="46" t="n">
        <v>160</v>
      </c>
      <c r="B167" s="47">
        <f>EDATE(Plan!$C$18,159)</f>
        <v/>
      </c>
      <c r="C167" s="48">
        <f>F166</f>
        <v/>
      </c>
      <c r="D167" s="49">
        <f>IF(C167&gt;0,C167*Plan!$D$23/100/12,0)</f>
        <v/>
      </c>
      <c r="E167" s="48">
        <f>IF(C167&lt;=0,0,MIN(C167+D167,Plan!$E$23))</f>
        <v/>
      </c>
      <c r="F167" s="50">
        <f>MAX(0,C167+D167-E167)</f>
        <v/>
      </c>
      <c r="G167" s="48">
        <f>J166</f>
        <v/>
      </c>
      <c r="H167" s="49">
        <f>IF(G167&gt;0,G167*Plan!$D$24/100/12,0)</f>
        <v/>
      </c>
      <c r="I167" s="48">
        <f>IF(G167&lt;=0,0,MIN(G167+H167,Plan!$E$24))</f>
        <v/>
      </c>
      <c r="J167" s="50">
        <f>MAX(0,G167+H167-I167)</f>
        <v/>
      </c>
      <c r="K167" s="48">
        <f>N166</f>
        <v/>
      </c>
      <c r="L167" s="49">
        <f>IF(K167&gt;0,K167*Plan!$D$25/100/12,0)</f>
        <v/>
      </c>
      <c r="M167" s="48">
        <f>IF(K167&lt;=0,0,MIN(K167+L167,Plan!$E$25))</f>
        <v/>
      </c>
      <c r="N167" s="50">
        <f>MAX(0,K167+L167-M167)</f>
        <v/>
      </c>
      <c r="O167" s="48">
        <f>R166</f>
        <v/>
      </c>
      <c r="P167" s="49">
        <f>IF(O167&gt;0,O167*Plan!$D$26/100/12,0)</f>
        <v/>
      </c>
      <c r="Q167" s="48">
        <f>IF(O167&lt;=0,0,MIN(O167+P167,Plan!$E$26))</f>
        <v/>
      </c>
      <c r="R167" s="50">
        <f>MAX(0,O167+P167-Q167)</f>
        <v/>
      </c>
      <c r="S167" s="48">
        <f>V166</f>
        <v/>
      </c>
      <c r="T167" s="49">
        <f>IF(S167&gt;0,S167*Plan!$D$27/100/12,0)</f>
        <v/>
      </c>
      <c r="U167" s="48">
        <f>IF(S167&lt;=0,0,MIN(S167+T167,Plan!$E$27))</f>
        <v/>
      </c>
      <c r="V167" s="50">
        <f>MAX(0,S167+T167-U167)</f>
        <v/>
      </c>
      <c r="W167" s="48">
        <f>Z166</f>
        <v/>
      </c>
      <c r="X167" s="49">
        <f>IF(W167&gt;0,W167*Plan!$D$28/100/12,0)</f>
        <v/>
      </c>
      <c r="Y167" s="48">
        <f>IF(W167&lt;=0,0,MIN(W167+X167,Plan!$E$28))</f>
        <v/>
      </c>
      <c r="Z167" s="50">
        <f>MAX(0,W167+X167-Y167)</f>
        <v/>
      </c>
      <c r="AA167" s="50">
        <f>F167+J167+N167+R167+V167+Z167</f>
        <v/>
      </c>
    </row>
    <row r="168">
      <c r="A168" s="40" t="n">
        <v>161</v>
      </c>
      <c r="B168" s="41">
        <f>EDATE(Plan!$C$18,160)</f>
        <v/>
      </c>
      <c r="C168" s="42">
        <f>F167</f>
        <v/>
      </c>
      <c r="D168" s="43">
        <f>IF(C168&gt;0,C168*Plan!$D$23/100/12,0)</f>
        <v/>
      </c>
      <c r="E168" s="42">
        <f>IF(C168&lt;=0,0,MIN(C168+D168,Plan!$E$23))</f>
        <v/>
      </c>
      <c r="F168" s="44">
        <f>MAX(0,C168+D168-E168)</f>
        <v/>
      </c>
      <c r="G168" s="42">
        <f>J167</f>
        <v/>
      </c>
      <c r="H168" s="43">
        <f>IF(G168&gt;0,G168*Plan!$D$24/100/12,0)</f>
        <v/>
      </c>
      <c r="I168" s="42">
        <f>IF(G168&lt;=0,0,MIN(G168+H168,Plan!$E$24))</f>
        <v/>
      </c>
      <c r="J168" s="44">
        <f>MAX(0,G168+H168-I168)</f>
        <v/>
      </c>
      <c r="K168" s="42">
        <f>N167</f>
        <v/>
      </c>
      <c r="L168" s="43">
        <f>IF(K168&gt;0,K168*Plan!$D$25/100/12,0)</f>
        <v/>
      </c>
      <c r="M168" s="42">
        <f>IF(K168&lt;=0,0,MIN(K168+L168,Plan!$E$25))</f>
        <v/>
      </c>
      <c r="N168" s="44">
        <f>MAX(0,K168+L168-M168)</f>
        <v/>
      </c>
      <c r="O168" s="42">
        <f>R167</f>
        <v/>
      </c>
      <c r="P168" s="43">
        <f>IF(O168&gt;0,O168*Plan!$D$26/100/12,0)</f>
        <v/>
      </c>
      <c r="Q168" s="42">
        <f>IF(O168&lt;=0,0,MIN(O168+P168,Plan!$E$26))</f>
        <v/>
      </c>
      <c r="R168" s="44">
        <f>MAX(0,O168+P168-Q168)</f>
        <v/>
      </c>
      <c r="S168" s="42">
        <f>V167</f>
        <v/>
      </c>
      <c r="T168" s="43">
        <f>IF(S168&gt;0,S168*Plan!$D$27/100/12,0)</f>
        <v/>
      </c>
      <c r="U168" s="42">
        <f>IF(S168&lt;=0,0,MIN(S168+T168,Plan!$E$27))</f>
        <v/>
      </c>
      <c r="V168" s="44">
        <f>MAX(0,S168+T168-U168)</f>
        <v/>
      </c>
      <c r="W168" s="42">
        <f>Z167</f>
        <v/>
      </c>
      <c r="X168" s="43">
        <f>IF(W168&gt;0,W168*Plan!$D$28/100/12,0)</f>
        <v/>
      </c>
      <c r="Y168" s="42">
        <f>IF(W168&lt;=0,0,MIN(W168+X168,Plan!$E$28))</f>
        <v/>
      </c>
      <c r="Z168" s="44">
        <f>MAX(0,W168+X168-Y168)</f>
        <v/>
      </c>
      <c r="AA168" s="44">
        <f>F168+J168+N168+R168+V168+Z168</f>
        <v/>
      </c>
    </row>
    <row r="169">
      <c r="A169" s="46" t="n">
        <v>162</v>
      </c>
      <c r="B169" s="47">
        <f>EDATE(Plan!$C$18,161)</f>
        <v/>
      </c>
      <c r="C169" s="48">
        <f>F168</f>
        <v/>
      </c>
      <c r="D169" s="49">
        <f>IF(C169&gt;0,C169*Plan!$D$23/100/12,0)</f>
        <v/>
      </c>
      <c r="E169" s="48">
        <f>IF(C169&lt;=0,0,MIN(C169+D169,Plan!$E$23))</f>
        <v/>
      </c>
      <c r="F169" s="50">
        <f>MAX(0,C169+D169-E169)</f>
        <v/>
      </c>
      <c r="G169" s="48">
        <f>J168</f>
        <v/>
      </c>
      <c r="H169" s="49">
        <f>IF(G169&gt;0,G169*Plan!$D$24/100/12,0)</f>
        <v/>
      </c>
      <c r="I169" s="48">
        <f>IF(G169&lt;=0,0,MIN(G169+H169,Plan!$E$24))</f>
        <v/>
      </c>
      <c r="J169" s="50">
        <f>MAX(0,G169+H169-I169)</f>
        <v/>
      </c>
      <c r="K169" s="48">
        <f>N168</f>
        <v/>
      </c>
      <c r="L169" s="49">
        <f>IF(K169&gt;0,K169*Plan!$D$25/100/12,0)</f>
        <v/>
      </c>
      <c r="M169" s="48">
        <f>IF(K169&lt;=0,0,MIN(K169+L169,Plan!$E$25))</f>
        <v/>
      </c>
      <c r="N169" s="50">
        <f>MAX(0,K169+L169-M169)</f>
        <v/>
      </c>
      <c r="O169" s="48">
        <f>R168</f>
        <v/>
      </c>
      <c r="P169" s="49">
        <f>IF(O169&gt;0,O169*Plan!$D$26/100/12,0)</f>
        <v/>
      </c>
      <c r="Q169" s="48">
        <f>IF(O169&lt;=0,0,MIN(O169+P169,Plan!$E$26))</f>
        <v/>
      </c>
      <c r="R169" s="50">
        <f>MAX(0,O169+P169-Q169)</f>
        <v/>
      </c>
      <c r="S169" s="48">
        <f>V168</f>
        <v/>
      </c>
      <c r="T169" s="49">
        <f>IF(S169&gt;0,S169*Plan!$D$27/100/12,0)</f>
        <v/>
      </c>
      <c r="U169" s="48">
        <f>IF(S169&lt;=0,0,MIN(S169+T169,Plan!$E$27))</f>
        <v/>
      </c>
      <c r="V169" s="50">
        <f>MAX(0,S169+T169-U169)</f>
        <v/>
      </c>
      <c r="W169" s="48">
        <f>Z168</f>
        <v/>
      </c>
      <c r="X169" s="49">
        <f>IF(W169&gt;0,W169*Plan!$D$28/100/12,0)</f>
        <v/>
      </c>
      <c r="Y169" s="48">
        <f>IF(W169&lt;=0,0,MIN(W169+X169,Plan!$E$28))</f>
        <v/>
      </c>
      <c r="Z169" s="50">
        <f>MAX(0,W169+X169-Y169)</f>
        <v/>
      </c>
      <c r="AA169" s="50">
        <f>F169+J169+N169+R169+V169+Z169</f>
        <v/>
      </c>
    </row>
    <row r="170">
      <c r="A170" s="40" t="n">
        <v>163</v>
      </c>
      <c r="B170" s="41">
        <f>EDATE(Plan!$C$18,162)</f>
        <v/>
      </c>
      <c r="C170" s="42">
        <f>F169</f>
        <v/>
      </c>
      <c r="D170" s="43">
        <f>IF(C170&gt;0,C170*Plan!$D$23/100/12,0)</f>
        <v/>
      </c>
      <c r="E170" s="42">
        <f>IF(C170&lt;=0,0,MIN(C170+D170,Plan!$E$23))</f>
        <v/>
      </c>
      <c r="F170" s="44">
        <f>MAX(0,C170+D170-E170)</f>
        <v/>
      </c>
      <c r="G170" s="42">
        <f>J169</f>
        <v/>
      </c>
      <c r="H170" s="43">
        <f>IF(G170&gt;0,G170*Plan!$D$24/100/12,0)</f>
        <v/>
      </c>
      <c r="I170" s="42">
        <f>IF(G170&lt;=0,0,MIN(G170+H170,Plan!$E$24))</f>
        <v/>
      </c>
      <c r="J170" s="44">
        <f>MAX(0,G170+H170-I170)</f>
        <v/>
      </c>
      <c r="K170" s="42">
        <f>N169</f>
        <v/>
      </c>
      <c r="L170" s="43">
        <f>IF(K170&gt;0,K170*Plan!$D$25/100/12,0)</f>
        <v/>
      </c>
      <c r="M170" s="42">
        <f>IF(K170&lt;=0,0,MIN(K170+L170,Plan!$E$25))</f>
        <v/>
      </c>
      <c r="N170" s="44">
        <f>MAX(0,K170+L170-M170)</f>
        <v/>
      </c>
      <c r="O170" s="42">
        <f>R169</f>
        <v/>
      </c>
      <c r="P170" s="43">
        <f>IF(O170&gt;0,O170*Plan!$D$26/100/12,0)</f>
        <v/>
      </c>
      <c r="Q170" s="42">
        <f>IF(O170&lt;=0,0,MIN(O170+P170,Plan!$E$26))</f>
        <v/>
      </c>
      <c r="R170" s="44">
        <f>MAX(0,O170+P170-Q170)</f>
        <v/>
      </c>
      <c r="S170" s="42">
        <f>V169</f>
        <v/>
      </c>
      <c r="T170" s="43">
        <f>IF(S170&gt;0,S170*Plan!$D$27/100/12,0)</f>
        <v/>
      </c>
      <c r="U170" s="42">
        <f>IF(S170&lt;=0,0,MIN(S170+T170,Plan!$E$27))</f>
        <v/>
      </c>
      <c r="V170" s="44">
        <f>MAX(0,S170+T170-U170)</f>
        <v/>
      </c>
      <c r="W170" s="42">
        <f>Z169</f>
        <v/>
      </c>
      <c r="X170" s="43">
        <f>IF(W170&gt;0,W170*Plan!$D$28/100/12,0)</f>
        <v/>
      </c>
      <c r="Y170" s="42">
        <f>IF(W170&lt;=0,0,MIN(W170+X170,Plan!$E$28))</f>
        <v/>
      </c>
      <c r="Z170" s="44">
        <f>MAX(0,W170+X170-Y170)</f>
        <v/>
      </c>
      <c r="AA170" s="44">
        <f>F170+J170+N170+R170+V170+Z170</f>
        <v/>
      </c>
    </row>
    <row r="171">
      <c r="A171" s="46" t="n">
        <v>164</v>
      </c>
      <c r="B171" s="47">
        <f>EDATE(Plan!$C$18,163)</f>
        <v/>
      </c>
      <c r="C171" s="48">
        <f>F170</f>
        <v/>
      </c>
      <c r="D171" s="49">
        <f>IF(C171&gt;0,C171*Plan!$D$23/100/12,0)</f>
        <v/>
      </c>
      <c r="E171" s="48">
        <f>IF(C171&lt;=0,0,MIN(C171+D171,Plan!$E$23))</f>
        <v/>
      </c>
      <c r="F171" s="50">
        <f>MAX(0,C171+D171-E171)</f>
        <v/>
      </c>
      <c r="G171" s="48">
        <f>J170</f>
        <v/>
      </c>
      <c r="H171" s="49">
        <f>IF(G171&gt;0,G171*Plan!$D$24/100/12,0)</f>
        <v/>
      </c>
      <c r="I171" s="48">
        <f>IF(G171&lt;=0,0,MIN(G171+H171,Plan!$E$24))</f>
        <v/>
      </c>
      <c r="J171" s="50">
        <f>MAX(0,G171+H171-I171)</f>
        <v/>
      </c>
      <c r="K171" s="48">
        <f>N170</f>
        <v/>
      </c>
      <c r="L171" s="49">
        <f>IF(K171&gt;0,K171*Plan!$D$25/100/12,0)</f>
        <v/>
      </c>
      <c r="M171" s="48">
        <f>IF(K171&lt;=0,0,MIN(K171+L171,Plan!$E$25))</f>
        <v/>
      </c>
      <c r="N171" s="50">
        <f>MAX(0,K171+L171-M171)</f>
        <v/>
      </c>
      <c r="O171" s="48">
        <f>R170</f>
        <v/>
      </c>
      <c r="P171" s="49">
        <f>IF(O171&gt;0,O171*Plan!$D$26/100/12,0)</f>
        <v/>
      </c>
      <c r="Q171" s="48">
        <f>IF(O171&lt;=0,0,MIN(O171+P171,Plan!$E$26))</f>
        <v/>
      </c>
      <c r="R171" s="50">
        <f>MAX(0,O171+P171-Q171)</f>
        <v/>
      </c>
      <c r="S171" s="48">
        <f>V170</f>
        <v/>
      </c>
      <c r="T171" s="49">
        <f>IF(S171&gt;0,S171*Plan!$D$27/100/12,0)</f>
        <v/>
      </c>
      <c r="U171" s="48">
        <f>IF(S171&lt;=0,0,MIN(S171+T171,Plan!$E$27))</f>
        <v/>
      </c>
      <c r="V171" s="50">
        <f>MAX(0,S171+T171-U171)</f>
        <v/>
      </c>
      <c r="W171" s="48">
        <f>Z170</f>
        <v/>
      </c>
      <c r="X171" s="49">
        <f>IF(W171&gt;0,W171*Plan!$D$28/100/12,0)</f>
        <v/>
      </c>
      <c r="Y171" s="48">
        <f>IF(W171&lt;=0,0,MIN(W171+X171,Plan!$E$28))</f>
        <v/>
      </c>
      <c r="Z171" s="50">
        <f>MAX(0,W171+X171-Y171)</f>
        <v/>
      </c>
      <c r="AA171" s="50">
        <f>F171+J171+N171+R171+V171+Z171</f>
        <v/>
      </c>
    </row>
    <row r="172">
      <c r="A172" s="40" t="n">
        <v>165</v>
      </c>
      <c r="B172" s="41">
        <f>EDATE(Plan!$C$18,164)</f>
        <v/>
      </c>
      <c r="C172" s="42">
        <f>F171</f>
        <v/>
      </c>
      <c r="D172" s="43">
        <f>IF(C172&gt;0,C172*Plan!$D$23/100/12,0)</f>
        <v/>
      </c>
      <c r="E172" s="42">
        <f>IF(C172&lt;=0,0,MIN(C172+D172,Plan!$E$23))</f>
        <v/>
      </c>
      <c r="F172" s="44">
        <f>MAX(0,C172+D172-E172)</f>
        <v/>
      </c>
      <c r="G172" s="42">
        <f>J171</f>
        <v/>
      </c>
      <c r="H172" s="43">
        <f>IF(G172&gt;0,G172*Plan!$D$24/100/12,0)</f>
        <v/>
      </c>
      <c r="I172" s="42">
        <f>IF(G172&lt;=0,0,MIN(G172+H172,Plan!$E$24))</f>
        <v/>
      </c>
      <c r="J172" s="44">
        <f>MAX(0,G172+H172-I172)</f>
        <v/>
      </c>
      <c r="K172" s="42">
        <f>N171</f>
        <v/>
      </c>
      <c r="L172" s="43">
        <f>IF(K172&gt;0,K172*Plan!$D$25/100/12,0)</f>
        <v/>
      </c>
      <c r="M172" s="42">
        <f>IF(K172&lt;=0,0,MIN(K172+L172,Plan!$E$25))</f>
        <v/>
      </c>
      <c r="N172" s="44">
        <f>MAX(0,K172+L172-M172)</f>
        <v/>
      </c>
      <c r="O172" s="42">
        <f>R171</f>
        <v/>
      </c>
      <c r="P172" s="43">
        <f>IF(O172&gt;0,O172*Plan!$D$26/100/12,0)</f>
        <v/>
      </c>
      <c r="Q172" s="42">
        <f>IF(O172&lt;=0,0,MIN(O172+P172,Plan!$E$26))</f>
        <v/>
      </c>
      <c r="R172" s="44">
        <f>MAX(0,O172+P172-Q172)</f>
        <v/>
      </c>
      <c r="S172" s="42">
        <f>V171</f>
        <v/>
      </c>
      <c r="T172" s="43">
        <f>IF(S172&gt;0,S172*Plan!$D$27/100/12,0)</f>
        <v/>
      </c>
      <c r="U172" s="42">
        <f>IF(S172&lt;=0,0,MIN(S172+T172,Plan!$E$27))</f>
        <v/>
      </c>
      <c r="V172" s="44">
        <f>MAX(0,S172+T172-U172)</f>
        <v/>
      </c>
      <c r="W172" s="42">
        <f>Z171</f>
        <v/>
      </c>
      <c r="X172" s="43">
        <f>IF(W172&gt;0,W172*Plan!$D$28/100/12,0)</f>
        <v/>
      </c>
      <c r="Y172" s="42">
        <f>IF(W172&lt;=0,0,MIN(W172+X172,Plan!$E$28))</f>
        <v/>
      </c>
      <c r="Z172" s="44">
        <f>MAX(0,W172+X172-Y172)</f>
        <v/>
      </c>
      <c r="AA172" s="44">
        <f>F172+J172+N172+R172+V172+Z172</f>
        <v/>
      </c>
    </row>
    <row r="173">
      <c r="A173" s="46" t="n">
        <v>166</v>
      </c>
      <c r="B173" s="47">
        <f>EDATE(Plan!$C$18,165)</f>
        <v/>
      </c>
      <c r="C173" s="48">
        <f>F172</f>
        <v/>
      </c>
      <c r="D173" s="49">
        <f>IF(C173&gt;0,C173*Plan!$D$23/100/12,0)</f>
        <v/>
      </c>
      <c r="E173" s="48">
        <f>IF(C173&lt;=0,0,MIN(C173+D173,Plan!$E$23))</f>
        <v/>
      </c>
      <c r="F173" s="50">
        <f>MAX(0,C173+D173-E173)</f>
        <v/>
      </c>
      <c r="G173" s="48">
        <f>J172</f>
        <v/>
      </c>
      <c r="H173" s="49">
        <f>IF(G173&gt;0,G173*Plan!$D$24/100/12,0)</f>
        <v/>
      </c>
      <c r="I173" s="48">
        <f>IF(G173&lt;=0,0,MIN(G173+H173,Plan!$E$24))</f>
        <v/>
      </c>
      <c r="J173" s="50">
        <f>MAX(0,G173+H173-I173)</f>
        <v/>
      </c>
      <c r="K173" s="48">
        <f>N172</f>
        <v/>
      </c>
      <c r="L173" s="49">
        <f>IF(K173&gt;0,K173*Plan!$D$25/100/12,0)</f>
        <v/>
      </c>
      <c r="M173" s="48">
        <f>IF(K173&lt;=0,0,MIN(K173+L173,Plan!$E$25))</f>
        <v/>
      </c>
      <c r="N173" s="50">
        <f>MAX(0,K173+L173-M173)</f>
        <v/>
      </c>
      <c r="O173" s="48">
        <f>R172</f>
        <v/>
      </c>
      <c r="P173" s="49">
        <f>IF(O173&gt;0,O173*Plan!$D$26/100/12,0)</f>
        <v/>
      </c>
      <c r="Q173" s="48">
        <f>IF(O173&lt;=0,0,MIN(O173+P173,Plan!$E$26))</f>
        <v/>
      </c>
      <c r="R173" s="50">
        <f>MAX(0,O173+P173-Q173)</f>
        <v/>
      </c>
      <c r="S173" s="48">
        <f>V172</f>
        <v/>
      </c>
      <c r="T173" s="49">
        <f>IF(S173&gt;0,S173*Plan!$D$27/100/12,0)</f>
        <v/>
      </c>
      <c r="U173" s="48">
        <f>IF(S173&lt;=0,0,MIN(S173+T173,Plan!$E$27))</f>
        <v/>
      </c>
      <c r="V173" s="50">
        <f>MAX(0,S173+T173-U173)</f>
        <v/>
      </c>
      <c r="W173" s="48">
        <f>Z172</f>
        <v/>
      </c>
      <c r="X173" s="49">
        <f>IF(W173&gt;0,W173*Plan!$D$28/100/12,0)</f>
        <v/>
      </c>
      <c r="Y173" s="48">
        <f>IF(W173&lt;=0,0,MIN(W173+X173,Plan!$E$28))</f>
        <v/>
      </c>
      <c r="Z173" s="50">
        <f>MAX(0,W173+X173-Y173)</f>
        <v/>
      </c>
      <c r="AA173" s="50">
        <f>F173+J173+N173+R173+V173+Z173</f>
        <v/>
      </c>
    </row>
    <row r="174">
      <c r="A174" s="40" t="n">
        <v>167</v>
      </c>
      <c r="B174" s="41">
        <f>EDATE(Plan!$C$18,166)</f>
        <v/>
      </c>
      <c r="C174" s="42">
        <f>F173</f>
        <v/>
      </c>
      <c r="D174" s="43">
        <f>IF(C174&gt;0,C174*Plan!$D$23/100/12,0)</f>
        <v/>
      </c>
      <c r="E174" s="42">
        <f>IF(C174&lt;=0,0,MIN(C174+D174,Plan!$E$23))</f>
        <v/>
      </c>
      <c r="F174" s="44">
        <f>MAX(0,C174+D174-E174)</f>
        <v/>
      </c>
      <c r="G174" s="42">
        <f>J173</f>
        <v/>
      </c>
      <c r="H174" s="43">
        <f>IF(G174&gt;0,G174*Plan!$D$24/100/12,0)</f>
        <v/>
      </c>
      <c r="I174" s="42">
        <f>IF(G174&lt;=0,0,MIN(G174+H174,Plan!$E$24))</f>
        <v/>
      </c>
      <c r="J174" s="44">
        <f>MAX(0,G174+H174-I174)</f>
        <v/>
      </c>
      <c r="K174" s="42">
        <f>N173</f>
        <v/>
      </c>
      <c r="L174" s="43">
        <f>IF(K174&gt;0,K174*Plan!$D$25/100/12,0)</f>
        <v/>
      </c>
      <c r="M174" s="42">
        <f>IF(K174&lt;=0,0,MIN(K174+L174,Plan!$E$25))</f>
        <v/>
      </c>
      <c r="N174" s="44">
        <f>MAX(0,K174+L174-M174)</f>
        <v/>
      </c>
      <c r="O174" s="42">
        <f>R173</f>
        <v/>
      </c>
      <c r="P174" s="43">
        <f>IF(O174&gt;0,O174*Plan!$D$26/100/12,0)</f>
        <v/>
      </c>
      <c r="Q174" s="42">
        <f>IF(O174&lt;=0,0,MIN(O174+P174,Plan!$E$26))</f>
        <v/>
      </c>
      <c r="R174" s="44">
        <f>MAX(0,O174+P174-Q174)</f>
        <v/>
      </c>
      <c r="S174" s="42">
        <f>V173</f>
        <v/>
      </c>
      <c r="T174" s="43">
        <f>IF(S174&gt;0,S174*Plan!$D$27/100/12,0)</f>
        <v/>
      </c>
      <c r="U174" s="42">
        <f>IF(S174&lt;=0,0,MIN(S174+T174,Plan!$E$27))</f>
        <v/>
      </c>
      <c r="V174" s="44">
        <f>MAX(0,S174+T174-U174)</f>
        <v/>
      </c>
      <c r="W174" s="42">
        <f>Z173</f>
        <v/>
      </c>
      <c r="X174" s="43">
        <f>IF(W174&gt;0,W174*Plan!$D$28/100/12,0)</f>
        <v/>
      </c>
      <c r="Y174" s="42">
        <f>IF(W174&lt;=0,0,MIN(W174+X174,Plan!$E$28))</f>
        <v/>
      </c>
      <c r="Z174" s="44">
        <f>MAX(0,W174+X174-Y174)</f>
        <v/>
      </c>
      <c r="AA174" s="44">
        <f>F174+J174+N174+R174+V174+Z174</f>
        <v/>
      </c>
    </row>
    <row r="175">
      <c r="A175" s="46" t="n">
        <v>168</v>
      </c>
      <c r="B175" s="47">
        <f>EDATE(Plan!$C$18,167)</f>
        <v/>
      </c>
      <c r="C175" s="48">
        <f>F174</f>
        <v/>
      </c>
      <c r="D175" s="49">
        <f>IF(C175&gt;0,C175*Plan!$D$23/100/12,0)</f>
        <v/>
      </c>
      <c r="E175" s="48">
        <f>IF(C175&lt;=0,0,MIN(C175+D175,Plan!$E$23))</f>
        <v/>
      </c>
      <c r="F175" s="50">
        <f>MAX(0,C175+D175-E175)</f>
        <v/>
      </c>
      <c r="G175" s="48">
        <f>J174</f>
        <v/>
      </c>
      <c r="H175" s="49">
        <f>IF(G175&gt;0,G175*Plan!$D$24/100/12,0)</f>
        <v/>
      </c>
      <c r="I175" s="48">
        <f>IF(G175&lt;=0,0,MIN(G175+H175,Plan!$E$24))</f>
        <v/>
      </c>
      <c r="J175" s="50">
        <f>MAX(0,G175+H175-I175)</f>
        <v/>
      </c>
      <c r="K175" s="48">
        <f>N174</f>
        <v/>
      </c>
      <c r="L175" s="49">
        <f>IF(K175&gt;0,K175*Plan!$D$25/100/12,0)</f>
        <v/>
      </c>
      <c r="M175" s="48">
        <f>IF(K175&lt;=0,0,MIN(K175+L175,Plan!$E$25))</f>
        <v/>
      </c>
      <c r="N175" s="50">
        <f>MAX(0,K175+L175-M175)</f>
        <v/>
      </c>
      <c r="O175" s="48">
        <f>R174</f>
        <v/>
      </c>
      <c r="P175" s="49">
        <f>IF(O175&gt;0,O175*Plan!$D$26/100/12,0)</f>
        <v/>
      </c>
      <c r="Q175" s="48">
        <f>IF(O175&lt;=0,0,MIN(O175+P175,Plan!$E$26))</f>
        <v/>
      </c>
      <c r="R175" s="50">
        <f>MAX(0,O175+P175-Q175)</f>
        <v/>
      </c>
      <c r="S175" s="48">
        <f>V174</f>
        <v/>
      </c>
      <c r="T175" s="49">
        <f>IF(S175&gt;0,S175*Plan!$D$27/100/12,0)</f>
        <v/>
      </c>
      <c r="U175" s="48">
        <f>IF(S175&lt;=0,0,MIN(S175+T175,Plan!$E$27))</f>
        <v/>
      </c>
      <c r="V175" s="50">
        <f>MAX(0,S175+T175-U175)</f>
        <v/>
      </c>
      <c r="W175" s="48">
        <f>Z174</f>
        <v/>
      </c>
      <c r="X175" s="49">
        <f>IF(W175&gt;0,W175*Plan!$D$28/100/12,0)</f>
        <v/>
      </c>
      <c r="Y175" s="48">
        <f>IF(W175&lt;=0,0,MIN(W175+X175,Plan!$E$28))</f>
        <v/>
      </c>
      <c r="Z175" s="50">
        <f>MAX(0,W175+X175-Y175)</f>
        <v/>
      </c>
      <c r="AA175" s="50">
        <f>F175+J175+N175+R175+V175+Z175</f>
        <v/>
      </c>
    </row>
    <row r="176">
      <c r="A176" s="40" t="n">
        <v>169</v>
      </c>
      <c r="B176" s="41">
        <f>EDATE(Plan!$C$18,168)</f>
        <v/>
      </c>
      <c r="C176" s="42">
        <f>F175</f>
        <v/>
      </c>
      <c r="D176" s="43">
        <f>IF(C176&gt;0,C176*Plan!$D$23/100/12,0)</f>
        <v/>
      </c>
      <c r="E176" s="42">
        <f>IF(C176&lt;=0,0,MIN(C176+D176,Plan!$E$23))</f>
        <v/>
      </c>
      <c r="F176" s="44">
        <f>MAX(0,C176+D176-E176)</f>
        <v/>
      </c>
      <c r="G176" s="42">
        <f>J175</f>
        <v/>
      </c>
      <c r="H176" s="43">
        <f>IF(G176&gt;0,G176*Plan!$D$24/100/12,0)</f>
        <v/>
      </c>
      <c r="I176" s="42">
        <f>IF(G176&lt;=0,0,MIN(G176+H176,Plan!$E$24))</f>
        <v/>
      </c>
      <c r="J176" s="44">
        <f>MAX(0,G176+H176-I176)</f>
        <v/>
      </c>
      <c r="K176" s="42">
        <f>N175</f>
        <v/>
      </c>
      <c r="L176" s="43">
        <f>IF(K176&gt;0,K176*Plan!$D$25/100/12,0)</f>
        <v/>
      </c>
      <c r="M176" s="42">
        <f>IF(K176&lt;=0,0,MIN(K176+L176,Plan!$E$25))</f>
        <v/>
      </c>
      <c r="N176" s="44">
        <f>MAX(0,K176+L176-M176)</f>
        <v/>
      </c>
      <c r="O176" s="42">
        <f>R175</f>
        <v/>
      </c>
      <c r="P176" s="43">
        <f>IF(O176&gt;0,O176*Plan!$D$26/100/12,0)</f>
        <v/>
      </c>
      <c r="Q176" s="42">
        <f>IF(O176&lt;=0,0,MIN(O176+P176,Plan!$E$26))</f>
        <v/>
      </c>
      <c r="R176" s="44">
        <f>MAX(0,O176+P176-Q176)</f>
        <v/>
      </c>
      <c r="S176" s="42">
        <f>V175</f>
        <v/>
      </c>
      <c r="T176" s="43">
        <f>IF(S176&gt;0,S176*Plan!$D$27/100/12,0)</f>
        <v/>
      </c>
      <c r="U176" s="42">
        <f>IF(S176&lt;=0,0,MIN(S176+T176,Plan!$E$27))</f>
        <v/>
      </c>
      <c r="V176" s="44">
        <f>MAX(0,S176+T176-U176)</f>
        <v/>
      </c>
      <c r="W176" s="42">
        <f>Z175</f>
        <v/>
      </c>
      <c r="X176" s="43">
        <f>IF(W176&gt;0,W176*Plan!$D$28/100/12,0)</f>
        <v/>
      </c>
      <c r="Y176" s="42">
        <f>IF(W176&lt;=0,0,MIN(W176+X176,Plan!$E$28))</f>
        <v/>
      </c>
      <c r="Z176" s="44">
        <f>MAX(0,W176+X176-Y176)</f>
        <v/>
      </c>
      <c r="AA176" s="44">
        <f>F176+J176+N176+R176+V176+Z176</f>
        <v/>
      </c>
    </row>
    <row r="177">
      <c r="A177" s="46" t="n">
        <v>170</v>
      </c>
      <c r="B177" s="47">
        <f>EDATE(Plan!$C$18,169)</f>
        <v/>
      </c>
      <c r="C177" s="48">
        <f>F176</f>
        <v/>
      </c>
      <c r="D177" s="49">
        <f>IF(C177&gt;0,C177*Plan!$D$23/100/12,0)</f>
        <v/>
      </c>
      <c r="E177" s="48">
        <f>IF(C177&lt;=0,0,MIN(C177+D177,Plan!$E$23))</f>
        <v/>
      </c>
      <c r="F177" s="50">
        <f>MAX(0,C177+D177-E177)</f>
        <v/>
      </c>
      <c r="G177" s="48">
        <f>J176</f>
        <v/>
      </c>
      <c r="H177" s="49">
        <f>IF(G177&gt;0,G177*Plan!$D$24/100/12,0)</f>
        <v/>
      </c>
      <c r="I177" s="48">
        <f>IF(G177&lt;=0,0,MIN(G177+H177,Plan!$E$24))</f>
        <v/>
      </c>
      <c r="J177" s="50">
        <f>MAX(0,G177+H177-I177)</f>
        <v/>
      </c>
      <c r="K177" s="48">
        <f>N176</f>
        <v/>
      </c>
      <c r="L177" s="49">
        <f>IF(K177&gt;0,K177*Plan!$D$25/100/12,0)</f>
        <v/>
      </c>
      <c r="M177" s="48">
        <f>IF(K177&lt;=0,0,MIN(K177+L177,Plan!$E$25))</f>
        <v/>
      </c>
      <c r="N177" s="50">
        <f>MAX(0,K177+L177-M177)</f>
        <v/>
      </c>
      <c r="O177" s="48">
        <f>R176</f>
        <v/>
      </c>
      <c r="P177" s="49">
        <f>IF(O177&gt;0,O177*Plan!$D$26/100/12,0)</f>
        <v/>
      </c>
      <c r="Q177" s="48">
        <f>IF(O177&lt;=0,0,MIN(O177+P177,Plan!$E$26))</f>
        <v/>
      </c>
      <c r="R177" s="50">
        <f>MAX(0,O177+P177-Q177)</f>
        <v/>
      </c>
      <c r="S177" s="48">
        <f>V176</f>
        <v/>
      </c>
      <c r="T177" s="49">
        <f>IF(S177&gt;0,S177*Plan!$D$27/100/12,0)</f>
        <v/>
      </c>
      <c r="U177" s="48">
        <f>IF(S177&lt;=0,0,MIN(S177+T177,Plan!$E$27))</f>
        <v/>
      </c>
      <c r="V177" s="50">
        <f>MAX(0,S177+T177-U177)</f>
        <v/>
      </c>
      <c r="W177" s="48">
        <f>Z176</f>
        <v/>
      </c>
      <c r="X177" s="49">
        <f>IF(W177&gt;0,W177*Plan!$D$28/100/12,0)</f>
        <v/>
      </c>
      <c r="Y177" s="48">
        <f>IF(W177&lt;=0,0,MIN(W177+X177,Plan!$E$28))</f>
        <v/>
      </c>
      <c r="Z177" s="50">
        <f>MAX(0,W177+X177-Y177)</f>
        <v/>
      </c>
      <c r="AA177" s="50">
        <f>F177+J177+N177+R177+V177+Z177</f>
        <v/>
      </c>
    </row>
    <row r="178">
      <c r="A178" s="40" t="n">
        <v>171</v>
      </c>
      <c r="B178" s="41">
        <f>EDATE(Plan!$C$18,170)</f>
        <v/>
      </c>
      <c r="C178" s="42">
        <f>F177</f>
        <v/>
      </c>
      <c r="D178" s="43">
        <f>IF(C178&gt;0,C178*Plan!$D$23/100/12,0)</f>
        <v/>
      </c>
      <c r="E178" s="42">
        <f>IF(C178&lt;=0,0,MIN(C178+D178,Plan!$E$23))</f>
        <v/>
      </c>
      <c r="F178" s="44">
        <f>MAX(0,C178+D178-E178)</f>
        <v/>
      </c>
      <c r="G178" s="42">
        <f>J177</f>
        <v/>
      </c>
      <c r="H178" s="43">
        <f>IF(G178&gt;0,G178*Plan!$D$24/100/12,0)</f>
        <v/>
      </c>
      <c r="I178" s="42">
        <f>IF(G178&lt;=0,0,MIN(G178+H178,Plan!$E$24))</f>
        <v/>
      </c>
      <c r="J178" s="44">
        <f>MAX(0,G178+H178-I178)</f>
        <v/>
      </c>
      <c r="K178" s="42">
        <f>N177</f>
        <v/>
      </c>
      <c r="L178" s="43">
        <f>IF(K178&gt;0,K178*Plan!$D$25/100/12,0)</f>
        <v/>
      </c>
      <c r="M178" s="42">
        <f>IF(K178&lt;=0,0,MIN(K178+L178,Plan!$E$25))</f>
        <v/>
      </c>
      <c r="N178" s="44">
        <f>MAX(0,K178+L178-M178)</f>
        <v/>
      </c>
      <c r="O178" s="42">
        <f>R177</f>
        <v/>
      </c>
      <c r="P178" s="43">
        <f>IF(O178&gt;0,O178*Plan!$D$26/100/12,0)</f>
        <v/>
      </c>
      <c r="Q178" s="42">
        <f>IF(O178&lt;=0,0,MIN(O178+P178,Plan!$E$26))</f>
        <v/>
      </c>
      <c r="R178" s="44">
        <f>MAX(0,O178+P178-Q178)</f>
        <v/>
      </c>
      <c r="S178" s="42">
        <f>V177</f>
        <v/>
      </c>
      <c r="T178" s="43">
        <f>IF(S178&gt;0,S178*Plan!$D$27/100/12,0)</f>
        <v/>
      </c>
      <c r="U178" s="42">
        <f>IF(S178&lt;=0,0,MIN(S178+T178,Plan!$E$27))</f>
        <v/>
      </c>
      <c r="V178" s="44">
        <f>MAX(0,S178+T178-U178)</f>
        <v/>
      </c>
      <c r="W178" s="42">
        <f>Z177</f>
        <v/>
      </c>
      <c r="X178" s="43">
        <f>IF(W178&gt;0,W178*Plan!$D$28/100/12,0)</f>
        <v/>
      </c>
      <c r="Y178" s="42">
        <f>IF(W178&lt;=0,0,MIN(W178+X178,Plan!$E$28))</f>
        <v/>
      </c>
      <c r="Z178" s="44">
        <f>MAX(0,W178+X178-Y178)</f>
        <v/>
      </c>
      <c r="AA178" s="44">
        <f>F178+J178+N178+R178+V178+Z178</f>
        <v/>
      </c>
    </row>
    <row r="179">
      <c r="A179" s="46" t="n">
        <v>172</v>
      </c>
      <c r="B179" s="47">
        <f>EDATE(Plan!$C$18,171)</f>
        <v/>
      </c>
      <c r="C179" s="48">
        <f>F178</f>
        <v/>
      </c>
      <c r="D179" s="49">
        <f>IF(C179&gt;0,C179*Plan!$D$23/100/12,0)</f>
        <v/>
      </c>
      <c r="E179" s="48">
        <f>IF(C179&lt;=0,0,MIN(C179+D179,Plan!$E$23))</f>
        <v/>
      </c>
      <c r="F179" s="50">
        <f>MAX(0,C179+D179-E179)</f>
        <v/>
      </c>
      <c r="G179" s="48">
        <f>J178</f>
        <v/>
      </c>
      <c r="H179" s="49">
        <f>IF(G179&gt;0,G179*Plan!$D$24/100/12,0)</f>
        <v/>
      </c>
      <c r="I179" s="48">
        <f>IF(G179&lt;=0,0,MIN(G179+H179,Plan!$E$24))</f>
        <v/>
      </c>
      <c r="J179" s="50">
        <f>MAX(0,G179+H179-I179)</f>
        <v/>
      </c>
      <c r="K179" s="48">
        <f>N178</f>
        <v/>
      </c>
      <c r="L179" s="49">
        <f>IF(K179&gt;0,K179*Plan!$D$25/100/12,0)</f>
        <v/>
      </c>
      <c r="M179" s="48">
        <f>IF(K179&lt;=0,0,MIN(K179+L179,Plan!$E$25))</f>
        <v/>
      </c>
      <c r="N179" s="50">
        <f>MAX(0,K179+L179-M179)</f>
        <v/>
      </c>
      <c r="O179" s="48">
        <f>R178</f>
        <v/>
      </c>
      <c r="P179" s="49">
        <f>IF(O179&gt;0,O179*Plan!$D$26/100/12,0)</f>
        <v/>
      </c>
      <c r="Q179" s="48">
        <f>IF(O179&lt;=0,0,MIN(O179+P179,Plan!$E$26))</f>
        <v/>
      </c>
      <c r="R179" s="50">
        <f>MAX(0,O179+P179-Q179)</f>
        <v/>
      </c>
      <c r="S179" s="48">
        <f>V178</f>
        <v/>
      </c>
      <c r="T179" s="49">
        <f>IF(S179&gt;0,S179*Plan!$D$27/100/12,0)</f>
        <v/>
      </c>
      <c r="U179" s="48">
        <f>IF(S179&lt;=0,0,MIN(S179+T179,Plan!$E$27))</f>
        <v/>
      </c>
      <c r="V179" s="50">
        <f>MAX(0,S179+T179-U179)</f>
        <v/>
      </c>
      <c r="W179" s="48">
        <f>Z178</f>
        <v/>
      </c>
      <c r="X179" s="49">
        <f>IF(W179&gt;0,W179*Plan!$D$28/100/12,0)</f>
        <v/>
      </c>
      <c r="Y179" s="48">
        <f>IF(W179&lt;=0,0,MIN(W179+X179,Plan!$E$28))</f>
        <v/>
      </c>
      <c r="Z179" s="50">
        <f>MAX(0,W179+X179-Y179)</f>
        <v/>
      </c>
      <c r="AA179" s="50">
        <f>F179+J179+N179+R179+V179+Z179</f>
        <v/>
      </c>
    </row>
    <row r="180">
      <c r="A180" s="40" t="n">
        <v>173</v>
      </c>
      <c r="B180" s="41">
        <f>EDATE(Plan!$C$18,172)</f>
        <v/>
      </c>
      <c r="C180" s="42">
        <f>F179</f>
        <v/>
      </c>
      <c r="D180" s="43">
        <f>IF(C180&gt;0,C180*Plan!$D$23/100/12,0)</f>
        <v/>
      </c>
      <c r="E180" s="42">
        <f>IF(C180&lt;=0,0,MIN(C180+D180,Plan!$E$23))</f>
        <v/>
      </c>
      <c r="F180" s="44">
        <f>MAX(0,C180+D180-E180)</f>
        <v/>
      </c>
      <c r="G180" s="42">
        <f>J179</f>
        <v/>
      </c>
      <c r="H180" s="43">
        <f>IF(G180&gt;0,G180*Plan!$D$24/100/12,0)</f>
        <v/>
      </c>
      <c r="I180" s="42">
        <f>IF(G180&lt;=0,0,MIN(G180+H180,Plan!$E$24))</f>
        <v/>
      </c>
      <c r="J180" s="44">
        <f>MAX(0,G180+H180-I180)</f>
        <v/>
      </c>
      <c r="K180" s="42">
        <f>N179</f>
        <v/>
      </c>
      <c r="L180" s="43">
        <f>IF(K180&gt;0,K180*Plan!$D$25/100/12,0)</f>
        <v/>
      </c>
      <c r="M180" s="42">
        <f>IF(K180&lt;=0,0,MIN(K180+L180,Plan!$E$25))</f>
        <v/>
      </c>
      <c r="N180" s="44">
        <f>MAX(0,K180+L180-M180)</f>
        <v/>
      </c>
      <c r="O180" s="42">
        <f>R179</f>
        <v/>
      </c>
      <c r="P180" s="43">
        <f>IF(O180&gt;0,O180*Plan!$D$26/100/12,0)</f>
        <v/>
      </c>
      <c r="Q180" s="42">
        <f>IF(O180&lt;=0,0,MIN(O180+P180,Plan!$E$26))</f>
        <v/>
      </c>
      <c r="R180" s="44">
        <f>MAX(0,O180+P180-Q180)</f>
        <v/>
      </c>
      <c r="S180" s="42">
        <f>V179</f>
        <v/>
      </c>
      <c r="T180" s="43">
        <f>IF(S180&gt;0,S180*Plan!$D$27/100/12,0)</f>
        <v/>
      </c>
      <c r="U180" s="42">
        <f>IF(S180&lt;=0,0,MIN(S180+T180,Plan!$E$27))</f>
        <v/>
      </c>
      <c r="V180" s="44">
        <f>MAX(0,S180+T180-U180)</f>
        <v/>
      </c>
      <c r="W180" s="42">
        <f>Z179</f>
        <v/>
      </c>
      <c r="X180" s="43">
        <f>IF(W180&gt;0,W180*Plan!$D$28/100/12,0)</f>
        <v/>
      </c>
      <c r="Y180" s="42">
        <f>IF(W180&lt;=0,0,MIN(W180+X180,Plan!$E$28))</f>
        <v/>
      </c>
      <c r="Z180" s="44">
        <f>MAX(0,W180+X180-Y180)</f>
        <v/>
      </c>
      <c r="AA180" s="44">
        <f>F180+J180+N180+R180+V180+Z180</f>
        <v/>
      </c>
    </row>
    <row r="181">
      <c r="A181" s="46" t="n">
        <v>174</v>
      </c>
      <c r="B181" s="47">
        <f>EDATE(Plan!$C$18,173)</f>
        <v/>
      </c>
      <c r="C181" s="48">
        <f>F180</f>
        <v/>
      </c>
      <c r="D181" s="49">
        <f>IF(C181&gt;0,C181*Plan!$D$23/100/12,0)</f>
        <v/>
      </c>
      <c r="E181" s="48">
        <f>IF(C181&lt;=0,0,MIN(C181+D181,Plan!$E$23))</f>
        <v/>
      </c>
      <c r="F181" s="50">
        <f>MAX(0,C181+D181-E181)</f>
        <v/>
      </c>
      <c r="G181" s="48">
        <f>J180</f>
        <v/>
      </c>
      <c r="H181" s="49">
        <f>IF(G181&gt;0,G181*Plan!$D$24/100/12,0)</f>
        <v/>
      </c>
      <c r="I181" s="48">
        <f>IF(G181&lt;=0,0,MIN(G181+H181,Plan!$E$24))</f>
        <v/>
      </c>
      <c r="J181" s="50">
        <f>MAX(0,G181+H181-I181)</f>
        <v/>
      </c>
      <c r="K181" s="48">
        <f>N180</f>
        <v/>
      </c>
      <c r="L181" s="49">
        <f>IF(K181&gt;0,K181*Plan!$D$25/100/12,0)</f>
        <v/>
      </c>
      <c r="M181" s="48">
        <f>IF(K181&lt;=0,0,MIN(K181+L181,Plan!$E$25))</f>
        <v/>
      </c>
      <c r="N181" s="50">
        <f>MAX(0,K181+L181-M181)</f>
        <v/>
      </c>
      <c r="O181" s="48">
        <f>R180</f>
        <v/>
      </c>
      <c r="P181" s="49">
        <f>IF(O181&gt;0,O181*Plan!$D$26/100/12,0)</f>
        <v/>
      </c>
      <c r="Q181" s="48">
        <f>IF(O181&lt;=0,0,MIN(O181+P181,Plan!$E$26))</f>
        <v/>
      </c>
      <c r="R181" s="50">
        <f>MAX(0,O181+P181-Q181)</f>
        <v/>
      </c>
      <c r="S181" s="48">
        <f>V180</f>
        <v/>
      </c>
      <c r="T181" s="49">
        <f>IF(S181&gt;0,S181*Plan!$D$27/100/12,0)</f>
        <v/>
      </c>
      <c r="U181" s="48">
        <f>IF(S181&lt;=0,0,MIN(S181+T181,Plan!$E$27))</f>
        <v/>
      </c>
      <c r="V181" s="50">
        <f>MAX(0,S181+T181-U181)</f>
        <v/>
      </c>
      <c r="W181" s="48">
        <f>Z180</f>
        <v/>
      </c>
      <c r="X181" s="49">
        <f>IF(W181&gt;0,W181*Plan!$D$28/100/12,0)</f>
        <v/>
      </c>
      <c r="Y181" s="48">
        <f>IF(W181&lt;=0,0,MIN(W181+X181,Plan!$E$28))</f>
        <v/>
      </c>
      <c r="Z181" s="50">
        <f>MAX(0,W181+X181-Y181)</f>
        <v/>
      </c>
      <c r="AA181" s="50">
        <f>F181+J181+N181+R181+V181+Z181</f>
        <v/>
      </c>
    </row>
    <row r="182">
      <c r="A182" s="40" t="n">
        <v>175</v>
      </c>
      <c r="B182" s="41">
        <f>EDATE(Plan!$C$18,174)</f>
        <v/>
      </c>
      <c r="C182" s="42">
        <f>F181</f>
        <v/>
      </c>
      <c r="D182" s="43">
        <f>IF(C182&gt;0,C182*Plan!$D$23/100/12,0)</f>
        <v/>
      </c>
      <c r="E182" s="42">
        <f>IF(C182&lt;=0,0,MIN(C182+D182,Plan!$E$23))</f>
        <v/>
      </c>
      <c r="F182" s="44">
        <f>MAX(0,C182+D182-E182)</f>
        <v/>
      </c>
      <c r="G182" s="42">
        <f>J181</f>
        <v/>
      </c>
      <c r="H182" s="43">
        <f>IF(G182&gt;0,G182*Plan!$D$24/100/12,0)</f>
        <v/>
      </c>
      <c r="I182" s="42">
        <f>IF(G182&lt;=0,0,MIN(G182+H182,Plan!$E$24))</f>
        <v/>
      </c>
      <c r="J182" s="44">
        <f>MAX(0,G182+H182-I182)</f>
        <v/>
      </c>
      <c r="K182" s="42">
        <f>N181</f>
        <v/>
      </c>
      <c r="L182" s="43">
        <f>IF(K182&gt;0,K182*Plan!$D$25/100/12,0)</f>
        <v/>
      </c>
      <c r="M182" s="42">
        <f>IF(K182&lt;=0,0,MIN(K182+L182,Plan!$E$25))</f>
        <v/>
      </c>
      <c r="N182" s="44">
        <f>MAX(0,K182+L182-M182)</f>
        <v/>
      </c>
      <c r="O182" s="42">
        <f>R181</f>
        <v/>
      </c>
      <c r="P182" s="43">
        <f>IF(O182&gt;0,O182*Plan!$D$26/100/12,0)</f>
        <v/>
      </c>
      <c r="Q182" s="42">
        <f>IF(O182&lt;=0,0,MIN(O182+P182,Plan!$E$26))</f>
        <v/>
      </c>
      <c r="R182" s="44">
        <f>MAX(0,O182+P182-Q182)</f>
        <v/>
      </c>
      <c r="S182" s="42">
        <f>V181</f>
        <v/>
      </c>
      <c r="T182" s="43">
        <f>IF(S182&gt;0,S182*Plan!$D$27/100/12,0)</f>
        <v/>
      </c>
      <c r="U182" s="42">
        <f>IF(S182&lt;=0,0,MIN(S182+T182,Plan!$E$27))</f>
        <v/>
      </c>
      <c r="V182" s="44">
        <f>MAX(0,S182+T182-U182)</f>
        <v/>
      </c>
      <c r="W182" s="42">
        <f>Z181</f>
        <v/>
      </c>
      <c r="X182" s="43">
        <f>IF(W182&gt;0,W182*Plan!$D$28/100/12,0)</f>
        <v/>
      </c>
      <c r="Y182" s="42">
        <f>IF(W182&lt;=0,0,MIN(W182+X182,Plan!$E$28))</f>
        <v/>
      </c>
      <c r="Z182" s="44">
        <f>MAX(0,W182+X182-Y182)</f>
        <v/>
      </c>
      <c r="AA182" s="44">
        <f>F182+J182+N182+R182+V182+Z182</f>
        <v/>
      </c>
    </row>
    <row r="183">
      <c r="A183" s="46" t="n">
        <v>176</v>
      </c>
      <c r="B183" s="47">
        <f>EDATE(Plan!$C$18,175)</f>
        <v/>
      </c>
      <c r="C183" s="48">
        <f>F182</f>
        <v/>
      </c>
      <c r="D183" s="49">
        <f>IF(C183&gt;0,C183*Plan!$D$23/100/12,0)</f>
        <v/>
      </c>
      <c r="E183" s="48">
        <f>IF(C183&lt;=0,0,MIN(C183+D183,Plan!$E$23))</f>
        <v/>
      </c>
      <c r="F183" s="50">
        <f>MAX(0,C183+D183-E183)</f>
        <v/>
      </c>
      <c r="G183" s="48">
        <f>J182</f>
        <v/>
      </c>
      <c r="H183" s="49">
        <f>IF(G183&gt;0,G183*Plan!$D$24/100/12,0)</f>
        <v/>
      </c>
      <c r="I183" s="48">
        <f>IF(G183&lt;=0,0,MIN(G183+H183,Plan!$E$24))</f>
        <v/>
      </c>
      <c r="J183" s="50">
        <f>MAX(0,G183+H183-I183)</f>
        <v/>
      </c>
      <c r="K183" s="48">
        <f>N182</f>
        <v/>
      </c>
      <c r="L183" s="49">
        <f>IF(K183&gt;0,K183*Plan!$D$25/100/12,0)</f>
        <v/>
      </c>
      <c r="M183" s="48">
        <f>IF(K183&lt;=0,0,MIN(K183+L183,Plan!$E$25))</f>
        <v/>
      </c>
      <c r="N183" s="50">
        <f>MAX(0,K183+L183-M183)</f>
        <v/>
      </c>
      <c r="O183" s="48">
        <f>R182</f>
        <v/>
      </c>
      <c r="P183" s="49">
        <f>IF(O183&gt;0,O183*Plan!$D$26/100/12,0)</f>
        <v/>
      </c>
      <c r="Q183" s="48">
        <f>IF(O183&lt;=0,0,MIN(O183+P183,Plan!$E$26))</f>
        <v/>
      </c>
      <c r="R183" s="50">
        <f>MAX(0,O183+P183-Q183)</f>
        <v/>
      </c>
      <c r="S183" s="48">
        <f>V182</f>
        <v/>
      </c>
      <c r="T183" s="49">
        <f>IF(S183&gt;0,S183*Plan!$D$27/100/12,0)</f>
        <v/>
      </c>
      <c r="U183" s="48">
        <f>IF(S183&lt;=0,0,MIN(S183+T183,Plan!$E$27))</f>
        <v/>
      </c>
      <c r="V183" s="50">
        <f>MAX(0,S183+T183-U183)</f>
        <v/>
      </c>
      <c r="W183" s="48">
        <f>Z182</f>
        <v/>
      </c>
      <c r="X183" s="49">
        <f>IF(W183&gt;0,W183*Plan!$D$28/100/12,0)</f>
        <v/>
      </c>
      <c r="Y183" s="48">
        <f>IF(W183&lt;=0,0,MIN(W183+X183,Plan!$E$28))</f>
        <v/>
      </c>
      <c r="Z183" s="50">
        <f>MAX(0,W183+X183-Y183)</f>
        <v/>
      </c>
      <c r="AA183" s="50">
        <f>F183+J183+N183+R183+V183+Z183</f>
        <v/>
      </c>
    </row>
    <row r="184">
      <c r="A184" s="40" t="n">
        <v>177</v>
      </c>
      <c r="B184" s="41">
        <f>EDATE(Plan!$C$18,176)</f>
        <v/>
      </c>
      <c r="C184" s="42">
        <f>F183</f>
        <v/>
      </c>
      <c r="D184" s="43">
        <f>IF(C184&gt;0,C184*Plan!$D$23/100/12,0)</f>
        <v/>
      </c>
      <c r="E184" s="42">
        <f>IF(C184&lt;=0,0,MIN(C184+D184,Plan!$E$23))</f>
        <v/>
      </c>
      <c r="F184" s="44">
        <f>MAX(0,C184+D184-E184)</f>
        <v/>
      </c>
      <c r="G184" s="42">
        <f>J183</f>
        <v/>
      </c>
      <c r="H184" s="43">
        <f>IF(G184&gt;0,G184*Plan!$D$24/100/12,0)</f>
        <v/>
      </c>
      <c r="I184" s="42">
        <f>IF(G184&lt;=0,0,MIN(G184+H184,Plan!$E$24))</f>
        <v/>
      </c>
      <c r="J184" s="44">
        <f>MAX(0,G184+H184-I184)</f>
        <v/>
      </c>
      <c r="K184" s="42">
        <f>N183</f>
        <v/>
      </c>
      <c r="L184" s="43">
        <f>IF(K184&gt;0,K184*Plan!$D$25/100/12,0)</f>
        <v/>
      </c>
      <c r="M184" s="42">
        <f>IF(K184&lt;=0,0,MIN(K184+L184,Plan!$E$25))</f>
        <v/>
      </c>
      <c r="N184" s="44">
        <f>MAX(0,K184+L184-M184)</f>
        <v/>
      </c>
      <c r="O184" s="42">
        <f>R183</f>
        <v/>
      </c>
      <c r="P184" s="43">
        <f>IF(O184&gt;0,O184*Plan!$D$26/100/12,0)</f>
        <v/>
      </c>
      <c r="Q184" s="42">
        <f>IF(O184&lt;=0,0,MIN(O184+P184,Plan!$E$26))</f>
        <v/>
      </c>
      <c r="R184" s="44">
        <f>MAX(0,O184+P184-Q184)</f>
        <v/>
      </c>
      <c r="S184" s="42">
        <f>V183</f>
        <v/>
      </c>
      <c r="T184" s="43">
        <f>IF(S184&gt;0,S184*Plan!$D$27/100/12,0)</f>
        <v/>
      </c>
      <c r="U184" s="42">
        <f>IF(S184&lt;=0,0,MIN(S184+T184,Plan!$E$27))</f>
        <v/>
      </c>
      <c r="V184" s="44">
        <f>MAX(0,S184+T184-U184)</f>
        <v/>
      </c>
      <c r="W184" s="42">
        <f>Z183</f>
        <v/>
      </c>
      <c r="X184" s="43">
        <f>IF(W184&gt;0,W184*Plan!$D$28/100/12,0)</f>
        <v/>
      </c>
      <c r="Y184" s="42">
        <f>IF(W184&lt;=0,0,MIN(W184+X184,Plan!$E$28))</f>
        <v/>
      </c>
      <c r="Z184" s="44">
        <f>MAX(0,W184+X184-Y184)</f>
        <v/>
      </c>
      <c r="AA184" s="44">
        <f>F184+J184+N184+R184+V184+Z184</f>
        <v/>
      </c>
    </row>
    <row r="185">
      <c r="A185" s="46" t="n">
        <v>178</v>
      </c>
      <c r="B185" s="47">
        <f>EDATE(Plan!$C$18,177)</f>
        <v/>
      </c>
      <c r="C185" s="48">
        <f>F184</f>
        <v/>
      </c>
      <c r="D185" s="49">
        <f>IF(C185&gt;0,C185*Plan!$D$23/100/12,0)</f>
        <v/>
      </c>
      <c r="E185" s="48">
        <f>IF(C185&lt;=0,0,MIN(C185+D185,Plan!$E$23))</f>
        <v/>
      </c>
      <c r="F185" s="50">
        <f>MAX(0,C185+D185-E185)</f>
        <v/>
      </c>
      <c r="G185" s="48">
        <f>J184</f>
        <v/>
      </c>
      <c r="H185" s="49">
        <f>IF(G185&gt;0,G185*Plan!$D$24/100/12,0)</f>
        <v/>
      </c>
      <c r="I185" s="48">
        <f>IF(G185&lt;=0,0,MIN(G185+H185,Plan!$E$24))</f>
        <v/>
      </c>
      <c r="J185" s="50">
        <f>MAX(0,G185+H185-I185)</f>
        <v/>
      </c>
      <c r="K185" s="48">
        <f>N184</f>
        <v/>
      </c>
      <c r="L185" s="49">
        <f>IF(K185&gt;0,K185*Plan!$D$25/100/12,0)</f>
        <v/>
      </c>
      <c r="M185" s="48">
        <f>IF(K185&lt;=0,0,MIN(K185+L185,Plan!$E$25))</f>
        <v/>
      </c>
      <c r="N185" s="50">
        <f>MAX(0,K185+L185-M185)</f>
        <v/>
      </c>
      <c r="O185" s="48">
        <f>R184</f>
        <v/>
      </c>
      <c r="P185" s="49">
        <f>IF(O185&gt;0,O185*Plan!$D$26/100/12,0)</f>
        <v/>
      </c>
      <c r="Q185" s="48">
        <f>IF(O185&lt;=0,0,MIN(O185+P185,Plan!$E$26))</f>
        <v/>
      </c>
      <c r="R185" s="50">
        <f>MAX(0,O185+P185-Q185)</f>
        <v/>
      </c>
      <c r="S185" s="48">
        <f>V184</f>
        <v/>
      </c>
      <c r="T185" s="49">
        <f>IF(S185&gt;0,S185*Plan!$D$27/100/12,0)</f>
        <v/>
      </c>
      <c r="U185" s="48">
        <f>IF(S185&lt;=0,0,MIN(S185+T185,Plan!$E$27))</f>
        <v/>
      </c>
      <c r="V185" s="50">
        <f>MAX(0,S185+T185-U185)</f>
        <v/>
      </c>
      <c r="W185" s="48">
        <f>Z184</f>
        <v/>
      </c>
      <c r="X185" s="49">
        <f>IF(W185&gt;0,W185*Plan!$D$28/100/12,0)</f>
        <v/>
      </c>
      <c r="Y185" s="48">
        <f>IF(W185&lt;=0,0,MIN(W185+X185,Plan!$E$28))</f>
        <v/>
      </c>
      <c r="Z185" s="50">
        <f>MAX(0,W185+X185-Y185)</f>
        <v/>
      </c>
      <c r="AA185" s="50">
        <f>F185+J185+N185+R185+V185+Z185</f>
        <v/>
      </c>
    </row>
    <row r="186">
      <c r="A186" s="40" t="n">
        <v>179</v>
      </c>
      <c r="B186" s="41">
        <f>EDATE(Plan!$C$18,178)</f>
        <v/>
      </c>
      <c r="C186" s="42">
        <f>F185</f>
        <v/>
      </c>
      <c r="D186" s="43">
        <f>IF(C186&gt;0,C186*Plan!$D$23/100/12,0)</f>
        <v/>
      </c>
      <c r="E186" s="42">
        <f>IF(C186&lt;=0,0,MIN(C186+D186,Plan!$E$23))</f>
        <v/>
      </c>
      <c r="F186" s="44">
        <f>MAX(0,C186+D186-E186)</f>
        <v/>
      </c>
      <c r="G186" s="42">
        <f>J185</f>
        <v/>
      </c>
      <c r="H186" s="43">
        <f>IF(G186&gt;0,G186*Plan!$D$24/100/12,0)</f>
        <v/>
      </c>
      <c r="I186" s="42">
        <f>IF(G186&lt;=0,0,MIN(G186+H186,Plan!$E$24))</f>
        <v/>
      </c>
      <c r="J186" s="44">
        <f>MAX(0,G186+H186-I186)</f>
        <v/>
      </c>
      <c r="K186" s="42">
        <f>N185</f>
        <v/>
      </c>
      <c r="L186" s="43">
        <f>IF(K186&gt;0,K186*Plan!$D$25/100/12,0)</f>
        <v/>
      </c>
      <c r="M186" s="42">
        <f>IF(K186&lt;=0,0,MIN(K186+L186,Plan!$E$25))</f>
        <v/>
      </c>
      <c r="N186" s="44">
        <f>MAX(0,K186+L186-M186)</f>
        <v/>
      </c>
      <c r="O186" s="42">
        <f>R185</f>
        <v/>
      </c>
      <c r="P186" s="43">
        <f>IF(O186&gt;0,O186*Plan!$D$26/100/12,0)</f>
        <v/>
      </c>
      <c r="Q186" s="42">
        <f>IF(O186&lt;=0,0,MIN(O186+P186,Plan!$E$26))</f>
        <v/>
      </c>
      <c r="R186" s="44">
        <f>MAX(0,O186+P186-Q186)</f>
        <v/>
      </c>
      <c r="S186" s="42">
        <f>V185</f>
        <v/>
      </c>
      <c r="T186" s="43">
        <f>IF(S186&gt;0,S186*Plan!$D$27/100/12,0)</f>
        <v/>
      </c>
      <c r="U186" s="42">
        <f>IF(S186&lt;=0,0,MIN(S186+T186,Plan!$E$27))</f>
        <v/>
      </c>
      <c r="V186" s="44">
        <f>MAX(0,S186+T186-U186)</f>
        <v/>
      </c>
      <c r="W186" s="42">
        <f>Z185</f>
        <v/>
      </c>
      <c r="X186" s="43">
        <f>IF(W186&gt;0,W186*Plan!$D$28/100/12,0)</f>
        <v/>
      </c>
      <c r="Y186" s="42">
        <f>IF(W186&lt;=0,0,MIN(W186+X186,Plan!$E$28))</f>
        <v/>
      </c>
      <c r="Z186" s="44">
        <f>MAX(0,W186+X186-Y186)</f>
        <v/>
      </c>
      <c r="AA186" s="44">
        <f>F186+J186+N186+R186+V186+Z186</f>
        <v/>
      </c>
    </row>
    <row r="187">
      <c r="A187" s="46" t="n">
        <v>180</v>
      </c>
      <c r="B187" s="47">
        <f>EDATE(Plan!$C$18,179)</f>
        <v/>
      </c>
      <c r="C187" s="48">
        <f>F186</f>
        <v/>
      </c>
      <c r="D187" s="49">
        <f>IF(C187&gt;0,C187*Plan!$D$23/100/12,0)</f>
        <v/>
      </c>
      <c r="E187" s="48">
        <f>IF(C187&lt;=0,0,MIN(C187+D187,Plan!$E$23))</f>
        <v/>
      </c>
      <c r="F187" s="50">
        <f>MAX(0,C187+D187-E187)</f>
        <v/>
      </c>
      <c r="G187" s="48">
        <f>J186</f>
        <v/>
      </c>
      <c r="H187" s="49">
        <f>IF(G187&gt;0,G187*Plan!$D$24/100/12,0)</f>
        <v/>
      </c>
      <c r="I187" s="48">
        <f>IF(G187&lt;=0,0,MIN(G187+H187,Plan!$E$24))</f>
        <v/>
      </c>
      <c r="J187" s="50">
        <f>MAX(0,G187+H187-I187)</f>
        <v/>
      </c>
      <c r="K187" s="48">
        <f>N186</f>
        <v/>
      </c>
      <c r="L187" s="49">
        <f>IF(K187&gt;0,K187*Plan!$D$25/100/12,0)</f>
        <v/>
      </c>
      <c r="M187" s="48">
        <f>IF(K187&lt;=0,0,MIN(K187+L187,Plan!$E$25))</f>
        <v/>
      </c>
      <c r="N187" s="50">
        <f>MAX(0,K187+L187-M187)</f>
        <v/>
      </c>
      <c r="O187" s="48">
        <f>R186</f>
        <v/>
      </c>
      <c r="P187" s="49">
        <f>IF(O187&gt;0,O187*Plan!$D$26/100/12,0)</f>
        <v/>
      </c>
      <c r="Q187" s="48">
        <f>IF(O187&lt;=0,0,MIN(O187+P187,Plan!$E$26))</f>
        <v/>
      </c>
      <c r="R187" s="50">
        <f>MAX(0,O187+P187-Q187)</f>
        <v/>
      </c>
      <c r="S187" s="48">
        <f>V186</f>
        <v/>
      </c>
      <c r="T187" s="49">
        <f>IF(S187&gt;0,S187*Plan!$D$27/100/12,0)</f>
        <v/>
      </c>
      <c r="U187" s="48">
        <f>IF(S187&lt;=0,0,MIN(S187+T187,Plan!$E$27))</f>
        <v/>
      </c>
      <c r="V187" s="50">
        <f>MAX(0,S187+T187-U187)</f>
        <v/>
      </c>
      <c r="W187" s="48">
        <f>Z186</f>
        <v/>
      </c>
      <c r="X187" s="49">
        <f>IF(W187&gt;0,W187*Plan!$D$28/100/12,0)</f>
        <v/>
      </c>
      <c r="Y187" s="48">
        <f>IF(W187&lt;=0,0,MIN(W187+X187,Plan!$E$28))</f>
        <v/>
      </c>
      <c r="Z187" s="50">
        <f>MAX(0,W187+X187-Y187)</f>
        <v/>
      </c>
      <c r="AA187" s="50">
        <f>F187+J187+N187+R187+V187+Z187</f>
        <v/>
      </c>
    </row>
    <row r="188">
      <c r="A188" s="40" t="n">
        <v>181</v>
      </c>
      <c r="B188" s="41">
        <f>EDATE(Plan!$C$18,180)</f>
        <v/>
      </c>
      <c r="C188" s="42">
        <f>F187</f>
        <v/>
      </c>
      <c r="D188" s="43">
        <f>IF(C188&gt;0,C188*Plan!$D$23/100/12,0)</f>
        <v/>
      </c>
      <c r="E188" s="42">
        <f>IF(C188&lt;=0,0,MIN(C188+D188,Plan!$E$23))</f>
        <v/>
      </c>
      <c r="F188" s="44">
        <f>MAX(0,C188+D188-E188)</f>
        <v/>
      </c>
      <c r="G188" s="42">
        <f>J187</f>
        <v/>
      </c>
      <c r="H188" s="43">
        <f>IF(G188&gt;0,G188*Plan!$D$24/100/12,0)</f>
        <v/>
      </c>
      <c r="I188" s="42">
        <f>IF(G188&lt;=0,0,MIN(G188+H188,Plan!$E$24))</f>
        <v/>
      </c>
      <c r="J188" s="44">
        <f>MAX(0,G188+H188-I188)</f>
        <v/>
      </c>
      <c r="K188" s="42">
        <f>N187</f>
        <v/>
      </c>
      <c r="L188" s="43">
        <f>IF(K188&gt;0,K188*Plan!$D$25/100/12,0)</f>
        <v/>
      </c>
      <c r="M188" s="42">
        <f>IF(K188&lt;=0,0,MIN(K188+L188,Plan!$E$25))</f>
        <v/>
      </c>
      <c r="N188" s="44">
        <f>MAX(0,K188+L188-M188)</f>
        <v/>
      </c>
      <c r="O188" s="42">
        <f>R187</f>
        <v/>
      </c>
      <c r="P188" s="43">
        <f>IF(O188&gt;0,O188*Plan!$D$26/100/12,0)</f>
        <v/>
      </c>
      <c r="Q188" s="42">
        <f>IF(O188&lt;=0,0,MIN(O188+P188,Plan!$E$26))</f>
        <v/>
      </c>
      <c r="R188" s="44">
        <f>MAX(0,O188+P188-Q188)</f>
        <v/>
      </c>
      <c r="S188" s="42">
        <f>V187</f>
        <v/>
      </c>
      <c r="T188" s="43">
        <f>IF(S188&gt;0,S188*Plan!$D$27/100/12,0)</f>
        <v/>
      </c>
      <c r="U188" s="42">
        <f>IF(S188&lt;=0,0,MIN(S188+T188,Plan!$E$27))</f>
        <v/>
      </c>
      <c r="V188" s="44">
        <f>MAX(0,S188+T188-U188)</f>
        <v/>
      </c>
      <c r="W188" s="42">
        <f>Z187</f>
        <v/>
      </c>
      <c r="X188" s="43">
        <f>IF(W188&gt;0,W188*Plan!$D$28/100/12,0)</f>
        <v/>
      </c>
      <c r="Y188" s="42">
        <f>IF(W188&lt;=0,0,MIN(W188+X188,Plan!$E$28))</f>
        <v/>
      </c>
      <c r="Z188" s="44">
        <f>MAX(0,W188+X188-Y188)</f>
        <v/>
      </c>
      <c r="AA188" s="44">
        <f>F188+J188+N188+R188+V188+Z188</f>
        <v/>
      </c>
    </row>
    <row r="189">
      <c r="A189" s="46" t="n">
        <v>182</v>
      </c>
      <c r="B189" s="47">
        <f>EDATE(Plan!$C$18,181)</f>
        <v/>
      </c>
      <c r="C189" s="48">
        <f>F188</f>
        <v/>
      </c>
      <c r="D189" s="49">
        <f>IF(C189&gt;0,C189*Plan!$D$23/100/12,0)</f>
        <v/>
      </c>
      <c r="E189" s="48">
        <f>IF(C189&lt;=0,0,MIN(C189+D189,Plan!$E$23))</f>
        <v/>
      </c>
      <c r="F189" s="50">
        <f>MAX(0,C189+D189-E189)</f>
        <v/>
      </c>
      <c r="G189" s="48">
        <f>J188</f>
        <v/>
      </c>
      <c r="H189" s="49">
        <f>IF(G189&gt;0,G189*Plan!$D$24/100/12,0)</f>
        <v/>
      </c>
      <c r="I189" s="48">
        <f>IF(G189&lt;=0,0,MIN(G189+H189,Plan!$E$24))</f>
        <v/>
      </c>
      <c r="J189" s="50">
        <f>MAX(0,G189+H189-I189)</f>
        <v/>
      </c>
      <c r="K189" s="48">
        <f>N188</f>
        <v/>
      </c>
      <c r="L189" s="49">
        <f>IF(K189&gt;0,K189*Plan!$D$25/100/12,0)</f>
        <v/>
      </c>
      <c r="M189" s="48">
        <f>IF(K189&lt;=0,0,MIN(K189+L189,Plan!$E$25))</f>
        <v/>
      </c>
      <c r="N189" s="50">
        <f>MAX(0,K189+L189-M189)</f>
        <v/>
      </c>
      <c r="O189" s="48">
        <f>R188</f>
        <v/>
      </c>
      <c r="P189" s="49">
        <f>IF(O189&gt;0,O189*Plan!$D$26/100/12,0)</f>
        <v/>
      </c>
      <c r="Q189" s="48">
        <f>IF(O189&lt;=0,0,MIN(O189+P189,Plan!$E$26))</f>
        <v/>
      </c>
      <c r="R189" s="50">
        <f>MAX(0,O189+P189-Q189)</f>
        <v/>
      </c>
      <c r="S189" s="48">
        <f>V188</f>
        <v/>
      </c>
      <c r="T189" s="49">
        <f>IF(S189&gt;0,S189*Plan!$D$27/100/12,0)</f>
        <v/>
      </c>
      <c r="U189" s="48">
        <f>IF(S189&lt;=0,0,MIN(S189+T189,Plan!$E$27))</f>
        <v/>
      </c>
      <c r="V189" s="50">
        <f>MAX(0,S189+T189-U189)</f>
        <v/>
      </c>
      <c r="W189" s="48">
        <f>Z188</f>
        <v/>
      </c>
      <c r="X189" s="49">
        <f>IF(W189&gt;0,W189*Plan!$D$28/100/12,0)</f>
        <v/>
      </c>
      <c r="Y189" s="48">
        <f>IF(W189&lt;=0,0,MIN(W189+X189,Plan!$E$28))</f>
        <v/>
      </c>
      <c r="Z189" s="50">
        <f>MAX(0,W189+X189-Y189)</f>
        <v/>
      </c>
      <c r="AA189" s="50">
        <f>F189+J189+N189+R189+V189+Z189</f>
        <v/>
      </c>
    </row>
    <row r="190">
      <c r="A190" s="40" t="n">
        <v>183</v>
      </c>
      <c r="B190" s="41">
        <f>EDATE(Plan!$C$18,182)</f>
        <v/>
      </c>
      <c r="C190" s="42">
        <f>F189</f>
        <v/>
      </c>
      <c r="D190" s="43">
        <f>IF(C190&gt;0,C190*Plan!$D$23/100/12,0)</f>
        <v/>
      </c>
      <c r="E190" s="42">
        <f>IF(C190&lt;=0,0,MIN(C190+D190,Plan!$E$23))</f>
        <v/>
      </c>
      <c r="F190" s="44">
        <f>MAX(0,C190+D190-E190)</f>
        <v/>
      </c>
      <c r="G190" s="42">
        <f>J189</f>
        <v/>
      </c>
      <c r="H190" s="43">
        <f>IF(G190&gt;0,G190*Plan!$D$24/100/12,0)</f>
        <v/>
      </c>
      <c r="I190" s="42">
        <f>IF(G190&lt;=0,0,MIN(G190+H190,Plan!$E$24))</f>
        <v/>
      </c>
      <c r="J190" s="44">
        <f>MAX(0,G190+H190-I190)</f>
        <v/>
      </c>
      <c r="K190" s="42">
        <f>N189</f>
        <v/>
      </c>
      <c r="L190" s="43">
        <f>IF(K190&gt;0,K190*Plan!$D$25/100/12,0)</f>
        <v/>
      </c>
      <c r="M190" s="42">
        <f>IF(K190&lt;=0,0,MIN(K190+L190,Plan!$E$25))</f>
        <v/>
      </c>
      <c r="N190" s="44">
        <f>MAX(0,K190+L190-M190)</f>
        <v/>
      </c>
      <c r="O190" s="42">
        <f>R189</f>
        <v/>
      </c>
      <c r="P190" s="43">
        <f>IF(O190&gt;0,O190*Plan!$D$26/100/12,0)</f>
        <v/>
      </c>
      <c r="Q190" s="42">
        <f>IF(O190&lt;=0,0,MIN(O190+P190,Plan!$E$26))</f>
        <v/>
      </c>
      <c r="R190" s="44">
        <f>MAX(0,O190+P190-Q190)</f>
        <v/>
      </c>
      <c r="S190" s="42">
        <f>V189</f>
        <v/>
      </c>
      <c r="T190" s="43">
        <f>IF(S190&gt;0,S190*Plan!$D$27/100/12,0)</f>
        <v/>
      </c>
      <c r="U190" s="42">
        <f>IF(S190&lt;=0,0,MIN(S190+T190,Plan!$E$27))</f>
        <v/>
      </c>
      <c r="V190" s="44">
        <f>MAX(0,S190+T190-U190)</f>
        <v/>
      </c>
      <c r="W190" s="42">
        <f>Z189</f>
        <v/>
      </c>
      <c r="X190" s="43">
        <f>IF(W190&gt;0,W190*Plan!$D$28/100/12,0)</f>
        <v/>
      </c>
      <c r="Y190" s="42">
        <f>IF(W190&lt;=0,0,MIN(W190+X190,Plan!$E$28))</f>
        <v/>
      </c>
      <c r="Z190" s="44">
        <f>MAX(0,W190+X190-Y190)</f>
        <v/>
      </c>
      <c r="AA190" s="44">
        <f>F190+J190+N190+R190+V190+Z190</f>
        <v/>
      </c>
    </row>
    <row r="191">
      <c r="A191" s="46" t="n">
        <v>184</v>
      </c>
      <c r="B191" s="47">
        <f>EDATE(Plan!$C$18,183)</f>
        <v/>
      </c>
      <c r="C191" s="48">
        <f>F190</f>
        <v/>
      </c>
      <c r="D191" s="49">
        <f>IF(C191&gt;0,C191*Plan!$D$23/100/12,0)</f>
        <v/>
      </c>
      <c r="E191" s="48">
        <f>IF(C191&lt;=0,0,MIN(C191+D191,Plan!$E$23))</f>
        <v/>
      </c>
      <c r="F191" s="50">
        <f>MAX(0,C191+D191-E191)</f>
        <v/>
      </c>
      <c r="G191" s="48">
        <f>J190</f>
        <v/>
      </c>
      <c r="H191" s="49">
        <f>IF(G191&gt;0,G191*Plan!$D$24/100/12,0)</f>
        <v/>
      </c>
      <c r="I191" s="48">
        <f>IF(G191&lt;=0,0,MIN(G191+H191,Plan!$E$24))</f>
        <v/>
      </c>
      <c r="J191" s="50">
        <f>MAX(0,G191+H191-I191)</f>
        <v/>
      </c>
      <c r="K191" s="48">
        <f>N190</f>
        <v/>
      </c>
      <c r="L191" s="49">
        <f>IF(K191&gt;0,K191*Plan!$D$25/100/12,0)</f>
        <v/>
      </c>
      <c r="M191" s="48">
        <f>IF(K191&lt;=0,0,MIN(K191+L191,Plan!$E$25))</f>
        <v/>
      </c>
      <c r="N191" s="50">
        <f>MAX(0,K191+L191-M191)</f>
        <v/>
      </c>
      <c r="O191" s="48">
        <f>R190</f>
        <v/>
      </c>
      <c r="P191" s="49">
        <f>IF(O191&gt;0,O191*Plan!$D$26/100/12,0)</f>
        <v/>
      </c>
      <c r="Q191" s="48">
        <f>IF(O191&lt;=0,0,MIN(O191+P191,Plan!$E$26))</f>
        <v/>
      </c>
      <c r="R191" s="50">
        <f>MAX(0,O191+P191-Q191)</f>
        <v/>
      </c>
      <c r="S191" s="48">
        <f>V190</f>
        <v/>
      </c>
      <c r="T191" s="49">
        <f>IF(S191&gt;0,S191*Plan!$D$27/100/12,0)</f>
        <v/>
      </c>
      <c r="U191" s="48">
        <f>IF(S191&lt;=0,0,MIN(S191+T191,Plan!$E$27))</f>
        <v/>
      </c>
      <c r="V191" s="50">
        <f>MAX(0,S191+T191-U191)</f>
        <v/>
      </c>
      <c r="W191" s="48">
        <f>Z190</f>
        <v/>
      </c>
      <c r="X191" s="49">
        <f>IF(W191&gt;0,W191*Plan!$D$28/100/12,0)</f>
        <v/>
      </c>
      <c r="Y191" s="48">
        <f>IF(W191&lt;=0,0,MIN(W191+X191,Plan!$E$28))</f>
        <v/>
      </c>
      <c r="Z191" s="50">
        <f>MAX(0,W191+X191-Y191)</f>
        <v/>
      </c>
      <c r="AA191" s="50">
        <f>F191+J191+N191+R191+V191+Z191</f>
        <v/>
      </c>
    </row>
    <row r="192">
      <c r="A192" s="40" t="n">
        <v>185</v>
      </c>
      <c r="B192" s="41">
        <f>EDATE(Plan!$C$18,184)</f>
        <v/>
      </c>
      <c r="C192" s="42">
        <f>F191</f>
        <v/>
      </c>
      <c r="D192" s="43">
        <f>IF(C192&gt;0,C192*Plan!$D$23/100/12,0)</f>
        <v/>
      </c>
      <c r="E192" s="42">
        <f>IF(C192&lt;=0,0,MIN(C192+D192,Plan!$E$23))</f>
        <v/>
      </c>
      <c r="F192" s="44">
        <f>MAX(0,C192+D192-E192)</f>
        <v/>
      </c>
      <c r="G192" s="42">
        <f>J191</f>
        <v/>
      </c>
      <c r="H192" s="43">
        <f>IF(G192&gt;0,G192*Plan!$D$24/100/12,0)</f>
        <v/>
      </c>
      <c r="I192" s="42">
        <f>IF(G192&lt;=0,0,MIN(G192+H192,Plan!$E$24))</f>
        <v/>
      </c>
      <c r="J192" s="44">
        <f>MAX(0,G192+H192-I192)</f>
        <v/>
      </c>
      <c r="K192" s="42">
        <f>N191</f>
        <v/>
      </c>
      <c r="L192" s="43">
        <f>IF(K192&gt;0,K192*Plan!$D$25/100/12,0)</f>
        <v/>
      </c>
      <c r="M192" s="42">
        <f>IF(K192&lt;=0,0,MIN(K192+L192,Plan!$E$25))</f>
        <v/>
      </c>
      <c r="N192" s="44">
        <f>MAX(0,K192+L192-M192)</f>
        <v/>
      </c>
      <c r="O192" s="42">
        <f>R191</f>
        <v/>
      </c>
      <c r="P192" s="43">
        <f>IF(O192&gt;0,O192*Plan!$D$26/100/12,0)</f>
        <v/>
      </c>
      <c r="Q192" s="42">
        <f>IF(O192&lt;=0,0,MIN(O192+P192,Plan!$E$26))</f>
        <v/>
      </c>
      <c r="R192" s="44">
        <f>MAX(0,O192+P192-Q192)</f>
        <v/>
      </c>
      <c r="S192" s="42">
        <f>V191</f>
        <v/>
      </c>
      <c r="T192" s="43">
        <f>IF(S192&gt;0,S192*Plan!$D$27/100/12,0)</f>
        <v/>
      </c>
      <c r="U192" s="42">
        <f>IF(S192&lt;=0,0,MIN(S192+T192,Plan!$E$27))</f>
        <v/>
      </c>
      <c r="V192" s="44">
        <f>MAX(0,S192+T192-U192)</f>
        <v/>
      </c>
      <c r="W192" s="42">
        <f>Z191</f>
        <v/>
      </c>
      <c r="X192" s="43">
        <f>IF(W192&gt;0,W192*Plan!$D$28/100/12,0)</f>
        <v/>
      </c>
      <c r="Y192" s="42">
        <f>IF(W192&lt;=0,0,MIN(W192+X192,Plan!$E$28))</f>
        <v/>
      </c>
      <c r="Z192" s="44">
        <f>MAX(0,W192+X192-Y192)</f>
        <v/>
      </c>
      <c r="AA192" s="44">
        <f>F192+J192+N192+R192+V192+Z192</f>
        <v/>
      </c>
    </row>
    <row r="193">
      <c r="A193" s="46" t="n">
        <v>186</v>
      </c>
      <c r="B193" s="47">
        <f>EDATE(Plan!$C$18,185)</f>
        <v/>
      </c>
      <c r="C193" s="48">
        <f>F192</f>
        <v/>
      </c>
      <c r="D193" s="49">
        <f>IF(C193&gt;0,C193*Plan!$D$23/100/12,0)</f>
        <v/>
      </c>
      <c r="E193" s="48">
        <f>IF(C193&lt;=0,0,MIN(C193+D193,Plan!$E$23))</f>
        <v/>
      </c>
      <c r="F193" s="50">
        <f>MAX(0,C193+D193-E193)</f>
        <v/>
      </c>
      <c r="G193" s="48">
        <f>J192</f>
        <v/>
      </c>
      <c r="H193" s="49">
        <f>IF(G193&gt;0,G193*Plan!$D$24/100/12,0)</f>
        <v/>
      </c>
      <c r="I193" s="48">
        <f>IF(G193&lt;=0,0,MIN(G193+H193,Plan!$E$24))</f>
        <v/>
      </c>
      <c r="J193" s="50">
        <f>MAX(0,G193+H193-I193)</f>
        <v/>
      </c>
      <c r="K193" s="48">
        <f>N192</f>
        <v/>
      </c>
      <c r="L193" s="49">
        <f>IF(K193&gt;0,K193*Plan!$D$25/100/12,0)</f>
        <v/>
      </c>
      <c r="M193" s="48">
        <f>IF(K193&lt;=0,0,MIN(K193+L193,Plan!$E$25))</f>
        <v/>
      </c>
      <c r="N193" s="50">
        <f>MAX(0,K193+L193-M193)</f>
        <v/>
      </c>
      <c r="O193" s="48">
        <f>R192</f>
        <v/>
      </c>
      <c r="P193" s="49">
        <f>IF(O193&gt;0,O193*Plan!$D$26/100/12,0)</f>
        <v/>
      </c>
      <c r="Q193" s="48">
        <f>IF(O193&lt;=0,0,MIN(O193+P193,Plan!$E$26))</f>
        <v/>
      </c>
      <c r="R193" s="50">
        <f>MAX(0,O193+P193-Q193)</f>
        <v/>
      </c>
      <c r="S193" s="48">
        <f>V192</f>
        <v/>
      </c>
      <c r="T193" s="49">
        <f>IF(S193&gt;0,S193*Plan!$D$27/100/12,0)</f>
        <v/>
      </c>
      <c r="U193" s="48">
        <f>IF(S193&lt;=0,0,MIN(S193+T193,Plan!$E$27))</f>
        <v/>
      </c>
      <c r="V193" s="50">
        <f>MAX(0,S193+T193-U193)</f>
        <v/>
      </c>
      <c r="W193" s="48">
        <f>Z192</f>
        <v/>
      </c>
      <c r="X193" s="49">
        <f>IF(W193&gt;0,W193*Plan!$D$28/100/12,0)</f>
        <v/>
      </c>
      <c r="Y193" s="48">
        <f>IF(W193&lt;=0,0,MIN(W193+X193,Plan!$E$28))</f>
        <v/>
      </c>
      <c r="Z193" s="50">
        <f>MAX(0,W193+X193-Y193)</f>
        <v/>
      </c>
      <c r="AA193" s="50">
        <f>F193+J193+N193+R193+V193+Z193</f>
        <v/>
      </c>
    </row>
    <row r="194">
      <c r="A194" s="40" t="n">
        <v>187</v>
      </c>
      <c r="B194" s="41">
        <f>EDATE(Plan!$C$18,186)</f>
        <v/>
      </c>
      <c r="C194" s="42">
        <f>F193</f>
        <v/>
      </c>
      <c r="D194" s="43">
        <f>IF(C194&gt;0,C194*Plan!$D$23/100/12,0)</f>
        <v/>
      </c>
      <c r="E194" s="42">
        <f>IF(C194&lt;=0,0,MIN(C194+D194,Plan!$E$23))</f>
        <v/>
      </c>
      <c r="F194" s="44">
        <f>MAX(0,C194+D194-E194)</f>
        <v/>
      </c>
      <c r="G194" s="42">
        <f>J193</f>
        <v/>
      </c>
      <c r="H194" s="43">
        <f>IF(G194&gt;0,G194*Plan!$D$24/100/12,0)</f>
        <v/>
      </c>
      <c r="I194" s="42">
        <f>IF(G194&lt;=0,0,MIN(G194+H194,Plan!$E$24))</f>
        <v/>
      </c>
      <c r="J194" s="44">
        <f>MAX(0,G194+H194-I194)</f>
        <v/>
      </c>
      <c r="K194" s="42">
        <f>N193</f>
        <v/>
      </c>
      <c r="L194" s="43">
        <f>IF(K194&gt;0,K194*Plan!$D$25/100/12,0)</f>
        <v/>
      </c>
      <c r="M194" s="42">
        <f>IF(K194&lt;=0,0,MIN(K194+L194,Plan!$E$25))</f>
        <v/>
      </c>
      <c r="N194" s="44">
        <f>MAX(0,K194+L194-M194)</f>
        <v/>
      </c>
      <c r="O194" s="42">
        <f>R193</f>
        <v/>
      </c>
      <c r="P194" s="43">
        <f>IF(O194&gt;0,O194*Plan!$D$26/100/12,0)</f>
        <v/>
      </c>
      <c r="Q194" s="42">
        <f>IF(O194&lt;=0,0,MIN(O194+P194,Plan!$E$26))</f>
        <v/>
      </c>
      <c r="R194" s="44">
        <f>MAX(0,O194+P194-Q194)</f>
        <v/>
      </c>
      <c r="S194" s="42">
        <f>V193</f>
        <v/>
      </c>
      <c r="T194" s="43">
        <f>IF(S194&gt;0,S194*Plan!$D$27/100/12,0)</f>
        <v/>
      </c>
      <c r="U194" s="42">
        <f>IF(S194&lt;=0,0,MIN(S194+T194,Plan!$E$27))</f>
        <v/>
      </c>
      <c r="V194" s="44">
        <f>MAX(0,S194+T194-U194)</f>
        <v/>
      </c>
      <c r="W194" s="42">
        <f>Z193</f>
        <v/>
      </c>
      <c r="X194" s="43">
        <f>IF(W194&gt;0,W194*Plan!$D$28/100/12,0)</f>
        <v/>
      </c>
      <c r="Y194" s="42">
        <f>IF(W194&lt;=0,0,MIN(W194+X194,Plan!$E$28))</f>
        <v/>
      </c>
      <c r="Z194" s="44">
        <f>MAX(0,W194+X194-Y194)</f>
        <v/>
      </c>
      <c r="AA194" s="44">
        <f>F194+J194+N194+R194+V194+Z194</f>
        <v/>
      </c>
    </row>
    <row r="195">
      <c r="A195" s="46" t="n">
        <v>188</v>
      </c>
      <c r="B195" s="47">
        <f>EDATE(Plan!$C$18,187)</f>
        <v/>
      </c>
      <c r="C195" s="48">
        <f>F194</f>
        <v/>
      </c>
      <c r="D195" s="49">
        <f>IF(C195&gt;0,C195*Plan!$D$23/100/12,0)</f>
        <v/>
      </c>
      <c r="E195" s="48">
        <f>IF(C195&lt;=0,0,MIN(C195+D195,Plan!$E$23))</f>
        <v/>
      </c>
      <c r="F195" s="50">
        <f>MAX(0,C195+D195-E195)</f>
        <v/>
      </c>
      <c r="G195" s="48">
        <f>J194</f>
        <v/>
      </c>
      <c r="H195" s="49">
        <f>IF(G195&gt;0,G195*Plan!$D$24/100/12,0)</f>
        <v/>
      </c>
      <c r="I195" s="48">
        <f>IF(G195&lt;=0,0,MIN(G195+H195,Plan!$E$24))</f>
        <v/>
      </c>
      <c r="J195" s="50">
        <f>MAX(0,G195+H195-I195)</f>
        <v/>
      </c>
      <c r="K195" s="48">
        <f>N194</f>
        <v/>
      </c>
      <c r="L195" s="49">
        <f>IF(K195&gt;0,K195*Plan!$D$25/100/12,0)</f>
        <v/>
      </c>
      <c r="M195" s="48">
        <f>IF(K195&lt;=0,0,MIN(K195+L195,Plan!$E$25))</f>
        <v/>
      </c>
      <c r="N195" s="50">
        <f>MAX(0,K195+L195-M195)</f>
        <v/>
      </c>
      <c r="O195" s="48">
        <f>R194</f>
        <v/>
      </c>
      <c r="P195" s="49">
        <f>IF(O195&gt;0,O195*Plan!$D$26/100/12,0)</f>
        <v/>
      </c>
      <c r="Q195" s="48">
        <f>IF(O195&lt;=0,0,MIN(O195+P195,Plan!$E$26))</f>
        <v/>
      </c>
      <c r="R195" s="50">
        <f>MAX(0,O195+P195-Q195)</f>
        <v/>
      </c>
      <c r="S195" s="48">
        <f>V194</f>
        <v/>
      </c>
      <c r="T195" s="49">
        <f>IF(S195&gt;0,S195*Plan!$D$27/100/12,0)</f>
        <v/>
      </c>
      <c r="U195" s="48">
        <f>IF(S195&lt;=0,0,MIN(S195+T195,Plan!$E$27))</f>
        <v/>
      </c>
      <c r="V195" s="50">
        <f>MAX(0,S195+T195-U195)</f>
        <v/>
      </c>
      <c r="W195" s="48">
        <f>Z194</f>
        <v/>
      </c>
      <c r="X195" s="49">
        <f>IF(W195&gt;0,W195*Plan!$D$28/100/12,0)</f>
        <v/>
      </c>
      <c r="Y195" s="48">
        <f>IF(W195&lt;=0,0,MIN(W195+X195,Plan!$E$28))</f>
        <v/>
      </c>
      <c r="Z195" s="50">
        <f>MAX(0,W195+X195-Y195)</f>
        <v/>
      </c>
      <c r="AA195" s="50">
        <f>F195+J195+N195+R195+V195+Z195</f>
        <v/>
      </c>
    </row>
    <row r="196">
      <c r="A196" s="40" t="n">
        <v>189</v>
      </c>
      <c r="B196" s="41">
        <f>EDATE(Plan!$C$18,188)</f>
        <v/>
      </c>
      <c r="C196" s="42">
        <f>F195</f>
        <v/>
      </c>
      <c r="D196" s="43">
        <f>IF(C196&gt;0,C196*Plan!$D$23/100/12,0)</f>
        <v/>
      </c>
      <c r="E196" s="42">
        <f>IF(C196&lt;=0,0,MIN(C196+D196,Plan!$E$23))</f>
        <v/>
      </c>
      <c r="F196" s="44">
        <f>MAX(0,C196+D196-E196)</f>
        <v/>
      </c>
      <c r="G196" s="42">
        <f>J195</f>
        <v/>
      </c>
      <c r="H196" s="43">
        <f>IF(G196&gt;0,G196*Plan!$D$24/100/12,0)</f>
        <v/>
      </c>
      <c r="I196" s="42">
        <f>IF(G196&lt;=0,0,MIN(G196+H196,Plan!$E$24))</f>
        <v/>
      </c>
      <c r="J196" s="44">
        <f>MAX(0,G196+H196-I196)</f>
        <v/>
      </c>
      <c r="K196" s="42">
        <f>N195</f>
        <v/>
      </c>
      <c r="L196" s="43">
        <f>IF(K196&gt;0,K196*Plan!$D$25/100/12,0)</f>
        <v/>
      </c>
      <c r="M196" s="42">
        <f>IF(K196&lt;=0,0,MIN(K196+L196,Plan!$E$25))</f>
        <v/>
      </c>
      <c r="N196" s="44">
        <f>MAX(0,K196+L196-M196)</f>
        <v/>
      </c>
      <c r="O196" s="42">
        <f>R195</f>
        <v/>
      </c>
      <c r="P196" s="43">
        <f>IF(O196&gt;0,O196*Plan!$D$26/100/12,0)</f>
        <v/>
      </c>
      <c r="Q196" s="42">
        <f>IF(O196&lt;=0,0,MIN(O196+P196,Plan!$E$26))</f>
        <v/>
      </c>
      <c r="R196" s="44">
        <f>MAX(0,O196+P196-Q196)</f>
        <v/>
      </c>
      <c r="S196" s="42">
        <f>V195</f>
        <v/>
      </c>
      <c r="T196" s="43">
        <f>IF(S196&gt;0,S196*Plan!$D$27/100/12,0)</f>
        <v/>
      </c>
      <c r="U196" s="42">
        <f>IF(S196&lt;=0,0,MIN(S196+T196,Plan!$E$27))</f>
        <v/>
      </c>
      <c r="V196" s="44">
        <f>MAX(0,S196+T196-U196)</f>
        <v/>
      </c>
      <c r="W196" s="42">
        <f>Z195</f>
        <v/>
      </c>
      <c r="X196" s="43">
        <f>IF(W196&gt;0,W196*Plan!$D$28/100/12,0)</f>
        <v/>
      </c>
      <c r="Y196" s="42">
        <f>IF(W196&lt;=0,0,MIN(W196+X196,Plan!$E$28))</f>
        <v/>
      </c>
      <c r="Z196" s="44">
        <f>MAX(0,W196+X196-Y196)</f>
        <v/>
      </c>
      <c r="AA196" s="44">
        <f>F196+J196+N196+R196+V196+Z196</f>
        <v/>
      </c>
    </row>
    <row r="197">
      <c r="A197" s="46" t="n">
        <v>190</v>
      </c>
      <c r="B197" s="47">
        <f>EDATE(Plan!$C$18,189)</f>
        <v/>
      </c>
      <c r="C197" s="48">
        <f>F196</f>
        <v/>
      </c>
      <c r="D197" s="49">
        <f>IF(C197&gt;0,C197*Plan!$D$23/100/12,0)</f>
        <v/>
      </c>
      <c r="E197" s="48">
        <f>IF(C197&lt;=0,0,MIN(C197+D197,Plan!$E$23))</f>
        <v/>
      </c>
      <c r="F197" s="50">
        <f>MAX(0,C197+D197-E197)</f>
        <v/>
      </c>
      <c r="G197" s="48">
        <f>J196</f>
        <v/>
      </c>
      <c r="H197" s="49">
        <f>IF(G197&gt;0,G197*Plan!$D$24/100/12,0)</f>
        <v/>
      </c>
      <c r="I197" s="48">
        <f>IF(G197&lt;=0,0,MIN(G197+H197,Plan!$E$24))</f>
        <v/>
      </c>
      <c r="J197" s="50">
        <f>MAX(0,G197+H197-I197)</f>
        <v/>
      </c>
      <c r="K197" s="48">
        <f>N196</f>
        <v/>
      </c>
      <c r="L197" s="49">
        <f>IF(K197&gt;0,K197*Plan!$D$25/100/12,0)</f>
        <v/>
      </c>
      <c r="M197" s="48">
        <f>IF(K197&lt;=0,0,MIN(K197+L197,Plan!$E$25))</f>
        <v/>
      </c>
      <c r="N197" s="50">
        <f>MAX(0,K197+L197-M197)</f>
        <v/>
      </c>
      <c r="O197" s="48">
        <f>R196</f>
        <v/>
      </c>
      <c r="P197" s="49">
        <f>IF(O197&gt;0,O197*Plan!$D$26/100/12,0)</f>
        <v/>
      </c>
      <c r="Q197" s="48">
        <f>IF(O197&lt;=0,0,MIN(O197+P197,Plan!$E$26))</f>
        <v/>
      </c>
      <c r="R197" s="50">
        <f>MAX(0,O197+P197-Q197)</f>
        <v/>
      </c>
      <c r="S197" s="48">
        <f>V196</f>
        <v/>
      </c>
      <c r="T197" s="49">
        <f>IF(S197&gt;0,S197*Plan!$D$27/100/12,0)</f>
        <v/>
      </c>
      <c r="U197" s="48">
        <f>IF(S197&lt;=0,0,MIN(S197+T197,Plan!$E$27))</f>
        <v/>
      </c>
      <c r="V197" s="50">
        <f>MAX(0,S197+T197-U197)</f>
        <v/>
      </c>
      <c r="W197" s="48">
        <f>Z196</f>
        <v/>
      </c>
      <c r="X197" s="49">
        <f>IF(W197&gt;0,W197*Plan!$D$28/100/12,0)</f>
        <v/>
      </c>
      <c r="Y197" s="48">
        <f>IF(W197&lt;=0,0,MIN(W197+X197,Plan!$E$28))</f>
        <v/>
      </c>
      <c r="Z197" s="50">
        <f>MAX(0,W197+X197-Y197)</f>
        <v/>
      </c>
      <c r="AA197" s="50">
        <f>F197+J197+N197+R197+V197+Z197</f>
        <v/>
      </c>
    </row>
    <row r="198">
      <c r="A198" s="40" t="n">
        <v>191</v>
      </c>
      <c r="B198" s="41">
        <f>EDATE(Plan!$C$18,190)</f>
        <v/>
      </c>
      <c r="C198" s="42">
        <f>F197</f>
        <v/>
      </c>
      <c r="D198" s="43">
        <f>IF(C198&gt;0,C198*Plan!$D$23/100/12,0)</f>
        <v/>
      </c>
      <c r="E198" s="42">
        <f>IF(C198&lt;=0,0,MIN(C198+D198,Plan!$E$23))</f>
        <v/>
      </c>
      <c r="F198" s="44">
        <f>MAX(0,C198+D198-E198)</f>
        <v/>
      </c>
      <c r="G198" s="42">
        <f>J197</f>
        <v/>
      </c>
      <c r="H198" s="43">
        <f>IF(G198&gt;0,G198*Plan!$D$24/100/12,0)</f>
        <v/>
      </c>
      <c r="I198" s="42">
        <f>IF(G198&lt;=0,0,MIN(G198+H198,Plan!$E$24))</f>
        <v/>
      </c>
      <c r="J198" s="44">
        <f>MAX(0,G198+H198-I198)</f>
        <v/>
      </c>
      <c r="K198" s="42">
        <f>N197</f>
        <v/>
      </c>
      <c r="L198" s="43">
        <f>IF(K198&gt;0,K198*Plan!$D$25/100/12,0)</f>
        <v/>
      </c>
      <c r="M198" s="42">
        <f>IF(K198&lt;=0,0,MIN(K198+L198,Plan!$E$25))</f>
        <v/>
      </c>
      <c r="N198" s="44">
        <f>MAX(0,K198+L198-M198)</f>
        <v/>
      </c>
      <c r="O198" s="42">
        <f>R197</f>
        <v/>
      </c>
      <c r="P198" s="43">
        <f>IF(O198&gt;0,O198*Plan!$D$26/100/12,0)</f>
        <v/>
      </c>
      <c r="Q198" s="42">
        <f>IF(O198&lt;=0,0,MIN(O198+P198,Plan!$E$26))</f>
        <v/>
      </c>
      <c r="R198" s="44">
        <f>MAX(0,O198+P198-Q198)</f>
        <v/>
      </c>
      <c r="S198" s="42">
        <f>V197</f>
        <v/>
      </c>
      <c r="T198" s="43">
        <f>IF(S198&gt;0,S198*Plan!$D$27/100/12,0)</f>
        <v/>
      </c>
      <c r="U198" s="42">
        <f>IF(S198&lt;=0,0,MIN(S198+T198,Plan!$E$27))</f>
        <v/>
      </c>
      <c r="V198" s="44">
        <f>MAX(0,S198+T198-U198)</f>
        <v/>
      </c>
      <c r="W198" s="42">
        <f>Z197</f>
        <v/>
      </c>
      <c r="X198" s="43">
        <f>IF(W198&gt;0,W198*Plan!$D$28/100/12,0)</f>
        <v/>
      </c>
      <c r="Y198" s="42">
        <f>IF(W198&lt;=0,0,MIN(W198+X198,Plan!$E$28))</f>
        <v/>
      </c>
      <c r="Z198" s="44">
        <f>MAX(0,W198+X198-Y198)</f>
        <v/>
      </c>
      <c r="AA198" s="44">
        <f>F198+J198+N198+R198+V198+Z198</f>
        <v/>
      </c>
    </row>
    <row r="199">
      <c r="A199" s="46" t="n">
        <v>192</v>
      </c>
      <c r="B199" s="47">
        <f>EDATE(Plan!$C$18,191)</f>
        <v/>
      </c>
      <c r="C199" s="48">
        <f>F198</f>
        <v/>
      </c>
      <c r="D199" s="49">
        <f>IF(C199&gt;0,C199*Plan!$D$23/100/12,0)</f>
        <v/>
      </c>
      <c r="E199" s="48">
        <f>IF(C199&lt;=0,0,MIN(C199+D199,Plan!$E$23))</f>
        <v/>
      </c>
      <c r="F199" s="50">
        <f>MAX(0,C199+D199-E199)</f>
        <v/>
      </c>
      <c r="G199" s="48">
        <f>J198</f>
        <v/>
      </c>
      <c r="H199" s="49">
        <f>IF(G199&gt;0,G199*Plan!$D$24/100/12,0)</f>
        <v/>
      </c>
      <c r="I199" s="48">
        <f>IF(G199&lt;=0,0,MIN(G199+H199,Plan!$E$24))</f>
        <v/>
      </c>
      <c r="J199" s="50">
        <f>MAX(0,G199+H199-I199)</f>
        <v/>
      </c>
      <c r="K199" s="48">
        <f>N198</f>
        <v/>
      </c>
      <c r="L199" s="49">
        <f>IF(K199&gt;0,K199*Plan!$D$25/100/12,0)</f>
        <v/>
      </c>
      <c r="M199" s="48">
        <f>IF(K199&lt;=0,0,MIN(K199+L199,Plan!$E$25))</f>
        <v/>
      </c>
      <c r="N199" s="50">
        <f>MAX(0,K199+L199-M199)</f>
        <v/>
      </c>
      <c r="O199" s="48">
        <f>R198</f>
        <v/>
      </c>
      <c r="P199" s="49">
        <f>IF(O199&gt;0,O199*Plan!$D$26/100/12,0)</f>
        <v/>
      </c>
      <c r="Q199" s="48">
        <f>IF(O199&lt;=0,0,MIN(O199+P199,Plan!$E$26))</f>
        <v/>
      </c>
      <c r="R199" s="50">
        <f>MAX(0,O199+P199-Q199)</f>
        <v/>
      </c>
      <c r="S199" s="48">
        <f>V198</f>
        <v/>
      </c>
      <c r="T199" s="49">
        <f>IF(S199&gt;0,S199*Plan!$D$27/100/12,0)</f>
        <v/>
      </c>
      <c r="U199" s="48">
        <f>IF(S199&lt;=0,0,MIN(S199+T199,Plan!$E$27))</f>
        <v/>
      </c>
      <c r="V199" s="50">
        <f>MAX(0,S199+T199-U199)</f>
        <v/>
      </c>
      <c r="W199" s="48">
        <f>Z198</f>
        <v/>
      </c>
      <c r="X199" s="49">
        <f>IF(W199&gt;0,W199*Plan!$D$28/100/12,0)</f>
        <v/>
      </c>
      <c r="Y199" s="48">
        <f>IF(W199&lt;=0,0,MIN(W199+X199,Plan!$E$28))</f>
        <v/>
      </c>
      <c r="Z199" s="50">
        <f>MAX(0,W199+X199-Y199)</f>
        <v/>
      </c>
      <c r="AA199" s="50">
        <f>F199+J199+N199+R199+V199+Z199</f>
        <v/>
      </c>
    </row>
    <row r="200">
      <c r="A200" s="40" t="n">
        <v>193</v>
      </c>
      <c r="B200" s="41">
        <f>EDATE(Plan!$C$18,192)</f>
        <v/>
      </c>
      <c r="C200" s="42">
        <f>F199</f>
        <v/>
      </c>
      <c r="D200" s="43">
        <f>IF(C200&gt;0,C200*Plan!$D$23/100/12,0)</f>
        <v/>
      </c>
      <c r="E200" s="42">
        <f>IF(C200&lt;=0,0,MIN(C200+D200,Plan!$E$23))</f>
        <v/>
      </c>
      <c r="F200" s="44">
        <f>MAX(0,C200+D200-E200)</f>
        <v/>
      </c>
      <c r="G200" s="42">
        <f>J199</f>
        <v/>
      </c>
      <c r="H200" s="43">
        <f>IF(G200&gt;0,G200*Plan!$D$24/100/12,0)</f>
        <v/>
      </c>
      <c r="I200" s="42">
        <f>IF(G200&lt;=0,0,MIN(G200+H200,Plan!$E$24))</f>
        <v/>
      </c>
      <c r="J200" s="44">
        <f>MAX(0,G200+H200-I200)</f>
        <v/>
      </c>
      <c r="K200" s="42">
        <f>N199</f>
        <v/>
      </c>
      <c r="L200" s="43">
        <f>IF(K200&gt;0,K200*Plan!$D$25/100/12,0)</f>
        <v/>
      </c>
      <c r="M200" s="42">
        <f>IF(K200&lt;=0,0,MIN(K200+L200,Plan!$E$25))</f>
        <v/>
      </c>
      <c r="N200" s="44">
        <f>MAX(0,K200+L200-M200)</f>
        <v/>
      </c>
      <c r="O200" s="42">
        <f>R199</f>
        <v/>
      </c>
      <c r="P200" s="43">
        <f>IF(O200&gt;0,O200*Plan!$D$26/100/12,0)</f>
        <v/>
      </c>
      <c r="Q200" s="42">
        <f>IF(O200&lt;=0,0,MIN(O200+P200,Plan!$E$26))</f>
        <v/>
      </c>
      <c r="R200" s="44">
        <f>MAX(0,O200+P200-Q200)</f>
        <v/>
      </c>
      <c r="S200" s="42">
        <f>V199</f>
        <v/>
      </c>
      <c r="T200" s="43">
        <f>IF(S200&gt;0,S200*Plan!$D$27/100/12,0)</f>
        <v/>
      </c>
      <c r="U200" s="42">
        <f>IF(S200&lt;=0,0,MIN(S200+T200,Plan!$E$27))</f>
        <v/>
      </c>
      <c r="V200" s="44">
        <f>MAX(0,S200+T200-U200)</f>
        <v/>
      </c>
      <c r="W200" s="42">
        <f>Z199</f>
        <v/>
      </c>
      <c r="X200" s="43">
        <f>IF(W200&gt;0,W200*Plan!$D$28/100/12,0)</f>
        <v/>
      </c>
      <c r="Y200" s="42">
        <f>IF(W200&lt;=0,0,MIN(W200+X200,Plan!$E$28))</f>
        <v/>
      </c>
      <c r="Z200" s="44">
        <f>MAX(0,W200+X200-Y200)</f>
        <v/>
      </c>
      <c r="AA200" s="44">
        <f>F200+J200+N200+R200+V200+Z200</f>
        <v/>
      </c>
    </row>
    <row r="201">
      <c r="A201" s="46" t="n">
        <v>194</v>
      </c>
      <c r="B201" s="47">
        <f>EDATE(Plan!$C$18,193)</f>
        <v/>
      </c>
      <c r="C201" s="48">
        <f>F200</f>
        <v/>
      </c>
      <c r="D201" s="49">
        <f>IF(C201&gt;0,C201*Plan!$D$23/100/12,0)</f>
        <v/>
      </c>
      <c r="E201" s="48">
        <f>IF(C201&lt;=0,0,MIN(C201+D201,Plan!$E$23))</f>
        <v/>
      </c>
      <c r="F201" s="50">
        <f>MAX(0,C201+D201-E201)</f>
        <v/>
      </c>
      <c r="G201" s="48">
        <f>J200</f>
        <v/>
      </c>
      <c r="H201" s="49">
        <f>IF(G201&gt;0,G201*Plan!$D$24/100/12,0)</f>
        <v/>
      </c>
      <c r="I201" s="48">
        <f>IF(G201&lt;=0,0,MIN(G201+H201,Plan!$E$24))</f>
        <v/>
      </c>
      <c r="J201" s="50">
        <f>MAX(0,G201+H201-I201)</f>
        <v/>
      </c>
      <c r="K201" s="48">
        <f>N200</f>
        <v/>
      </c>
      <c r="L201" s="49">
        <f>IF(K201&gt;0,K201*Plan!$D$25/100/12,0)</f>
        <v/>
      </c>
      <c r="M201" s="48">
        <f>IF(K201&lt;=0,0,MIN(K201+L201,Plan!$E$25))</f>
        <v/>
      </c>
      <c r="N201" s="50">
        <f>MAX(0,K201+L201-M201)</f>
        <v/>
      </c>
      <c r="O201" s="48">
        <f>R200</f>
        <v/>
      </c>
      <c r="P201" s="49">
        <f>IF(O201&gt;0,O201*Plan!$D$26/100/12,0)</f>
        <v/>
      </c>
      <c r="Q201" s="48">
        <f>IF(O201&lt;=0,0,MIN(O201+P201,Plan!$E$26))</f>
        <v/>
      </c>
      <c r="R201" s="50">
        <f>MAX(0,O201+P201-Q201)</f>
        <v/>
      </c>
      <c r="S201" s="48">
        <f>V200</f>
        <v/>
      </c>
      <c r="T201" s="49">
        <f>IF(S201&gt;0,S201*Plan!$D$27/100/12,0)</f>
        <v/>
      </c>
      <c r="U201" s="48">
        <f>IF(S201&lt;=0,0,MIN(S201+T201,Plan!$E$27))</f>
        <v/>
      </c>
      <c r="V201" s="50">
        <f>MAX(0,S201+T201-U201)</f>
        <v/>
      </c>
      <c r="W201" s="48">
        <f>Z200</f>
        <v/>
      </c>
      <c r="X201" s="49">
        <f>IF(W201&gt;0,W201*Plan!$D$28/100/12,0)</f>
        <v/>
      </c>
      <c r="Y201" s="48">
        <f>IF(W201&lt;=0,0,MIN(W201+X201,Plan!$E$28))</f>
        <v/>
      </c>
      <c r="Z201" s="50">
        <f>MAX(0,W201+X201-Y201)</f>
        <v/>
      </c>
      <c r="AA201" s="50">
        <f>F201+J201+N201+R201+V201+Z201</f>
        <v/>
      </c>
    </row>
    <row r="202">
      <c r="A202" s="40" t="n">
        <v>195</v>
      </c>
      <c r="B202" s="41">
        <f>EDATE(Plan!$C$18,194)</f>
        <v/>
      </c>
      <c r="C202" s="42">
        <f>F201</f>
        <v/>
      </c>
      <c r="D202" s="43">
        <f>IF(C202&gt;0,C202*Plan!$D$23/100/12,0)</f>
        <v/>
      </c>
      <c r="E202" s="42">
        <f>IF(C202&lt;=0,0,MIN(C202+D202,Plan!$E$23))</f>
        <v/>
      </c>
      <c r="F202" s="44">
        <f>MAX(0,C202+D202-E202)</f>
        <v/>
      </c>
      <c r="G202" s="42">
        <f>J201</f>
        <v/>
      </c>
      <c r="H202" s="43">
        <f>IF(G202&gt;0,G202*Plan!$D$24/100/12,0)</f>
        <v/>
      </c>
      <c r="I202" s="42">
        <f>IF(G202&lt;=0,0,MIN(G202+H202,Plan!$E$24))</f>
        <v/>
      </c>
      <c r="J202" s="44">
        <f>MAX(0,G202+H202-I202)</f>
        <v/>
      </c>
      <c r="K202" s="42">
        <f>N201</f>
        <v/>
      </c>
      <c r="L202" s="43">
        <f>IF(K202&gt;0,K202*Plan!$D$25/100/12,0)</f>
        <v/>
      </c>
      <c r="M202" s="42">
        <f>IF(K202&lt;=0,0,MIN(K202+L202,Plan!$E$25))</f>
        <v/>
      </c>
      <c r="N202" s="44">
        <f>MAX(0,K202+L202-M202)</f>
        <v/>
      </c>
      <c r="O202" s="42">
        <f>R201</f>
        <v/>
      </c>
      <c r="P202" s="43">
        <f>IF(O202&gt;0,O202*Plan!$D$26/100/12,0)</f>
        <v/>
      </c>
      <c r="Q202" s="42">
        <f>IF(O202&lt;=0,0,MIN(O202+P202,Plan!$E$26))</f>
        <v/>
      </c>
      <c r="R202" s="44">
        <f>MAX(0,O202+P202-Q202)</f>
        <v/>
      </c>
      <c r="S202" s="42">
        <f>V201</f>
        <v/>
      </c>
      <c r="T202" s="43">
        <f>IF(S202&gt;0,S202*Plan!$D$27/100/12,0)</f>
        <v/>
      </c>
      <c r="U202" s="42">
        <f>IF(S202&lt;=0,0,MIN(S202+T202,Plan!$E$27))</f>
        <v/>
      </c>
      <c r="V202" s="44">
        <f>MAX(0,S202+T202-U202)</f>
        <v/>
      </c>
      <c r="W202" s="42">
        <f>Z201</f>
        <v/>
      </c>
      <c r="X202" s="43">
        <f>IF(W202&gt;0,W202*Plan!$D$28/100/12,0)</f>
        <v/>
      </c>
      <c r="Y202" s="42">
        <f>IF(W202&lt;=0,0,MIN(W202+X202,Plan!$E$28))</f>
        <v/>
      </c>
      <c r="Z202" s="44">
        <f>MAX(0,W202+X202-Y202)</f>
        <v/>
      </c>
      <c r="AA202" s="44">
        <f>F202+J202+N202+R202+V202+Z202</f>
        <v/>
      </c>
    </row>
    <row r="203">
      <c r="A203" s="46" t="n">
        <v>196</v>
      </c>
      <c r="B203" s="47">
        <f>EDATE(Plan!$C$18,195)</f>
        <v/>
      </c>
      <c r="C203" s="48">
        <f>F202</f>
        <v/>
      </c>
      <c r="D203" s="49">
        <f>IF(C203&gt;0,C203*Plan!$D$23/100/12,0)</f>
        <v/>
      </c>
      <c r="E203" s="48">
        <f>IF(C203&lt;=0,0,MIN(C203+D203,Plan!$E$23))</f>
        <v/>
      </c>
      <c r="F203" s="50">
        <f>MAX(0,C203+D203-E203)</f>
        <v/>
      </c>
      <c r="G203" s="48">
        <f>J202</f>
        <v/>
      </c>
      <c r="H203" s="49">
        <f>IF(G203&gt;0,G203*Plan!$D$24/100/12,0)</f>
        <v/>
      </c>
      <c r="I203" s="48">
        <f>IF(G203&lt;=0,0,MIN(G203+H203,Plan!$E$24))</f>
        <v/>
      </c>
      <c r="J203" s="50">
        <f>MAX(0,G203+H203-I203)</f>
        <v/>
      </c>
      <c r="K203" s="48">
        <f>N202</f>
        <v/>
      </c>
      <c r="L203" s="49">
        <f>IF(K203&gt;0,K203*Plan!$D$25/100/12,0)</f>
        <v/>
      </c>
      <c r="M203" s="48">
        <f>IF(K203&lt;=0,0,MIN(K203+L203,Plan!$E$25))</f>
        <v/>
      </c>
      <c r="N203" s="50">
        <f>MAX(0,K203+L203-M203)</f>
        <v/>
      </c>
      <c r="O203" s="48">
        <f>R202</f>
        <v/>
      </c>
      <c r="P203" s="49">
        <f>IF(O203&gt;0,O203*Plan!$D$26/100/12,0)</f>
        <v/>
      </c>
      <c r="Q203" s="48">
        <f>IF(O203&lt;=0,0,MIN(O203+P203,Plan!$E$26))</f>
        <v/>
      </c>
      <c r="R203" s="50">
        <f>MAX(0,O203+P203-Q203)</f>
        <v/>
      </c>
      <c r="S203" s="48">
        <f>V202</f>
        <v/>
      </c>
      <c r="T203" s="49">
        <f>IF(S203&gt;0,S203*Plan!$D$27/100/12,0)</f>
        <v/>
      </c>
      <c r="U203" s="48">
        <f>IF(S203&lt;=0,0,MIN(S203+T203,Plan!$E$27))</f>
        <v/>
      </c>
      <c r="V203" s="50">
        <f>MAX(0,S203+T203-U203)</f>
        <v/>
      </c>
      <c r="W203" s="48">
        <f>Z202</f>
        <v/>
      </c>
      <c r="X203" s="49">
        <f>IF(W203&gt;0,W203*Plan!$D$28/100/12,0)</f>
        <v/>
      </c>
      <c r="Y203" s="48">
        <f>IF(W203&lt;=0,0,MIN(W203+X203,Plan!$E$28))</f>
        <v/>
      </c>
      <c r="Z203" s="50">
        <f>MAX(0,W203+X203-Y203)</f>
        <v/>
      </c>
      <c r="AA203" s="50">
        <f>F203+J203+N203+R203+V203+Z203</f>
        <v/>
      </c>
    </row>
    <row r="204">
      <c r="A204" s="40" t="n">
        <v>197</v>
      </c>
      <c r="B204" s="41">
        <f>EDATE(Plan!$C$18,196)</f>
        <v/>
      </c>
      <c r="C204" s="42">
        <f>F203</f>
        <v/>
      </c>
      <c r="D204" s="43">
        <f>IF(C204&gt;0,C204*Plan!$D$23/100/12,0)</f>
        <v/>
      </c>
      <c r="E204" s="42">
        <f>IF(C204&lt;=0,0,MIN(C204+D204,Plan!$E$23))</f>
        <v/>
      </c>
      <c r="F204" s="44">
        <f>MAX(0,C204+D204-E204)</f>
        <v/>
      </c>
      <c r="G204" s="42">
        <f>J203</f>
        <v/>
      </c>
      <c r="H204" s="43">
        <f>IF(G204&gt;0,G204*Plan!$D$24/100/12,0)</f>
        <v/>
      </c>
      <c r="I204" s="42">
        <f>IF(G204&lt;=0,0,MIN(G204+H204,Plan!$E$24))</f>
        <v/>
      </c>
      <c r="J204" s="44">
        <f>MAX(0,G204+H204-I204)</f>
        <v/>
      </c>
      <c r="K204" s="42">
        <f>N203</f>
        <v/>
      </c>
      <c r="L204" s="43">
        <f>IF(K204&gt;0,K204*Plan!$D$25/100/12,0)</f>
        <v/>
      </c>
      <c r="M204" s="42">
        <f>IF(K204&lt;=0,0,MIN(K204+L204,Plan!$E$25))</f>
        <v/>
      </c>
      <c r="N204" s="44">
        <f>MAX(0,K204+L204-M204)</f>
        <v/>
      </c>
      <c r="O204" s="42">
        <f>R203</f>
        <v/>
      </c>
      <c r="P204" s="43">
        <f>IF(O204&gt;0,O204*Plan!$D$26/100/12,0)</f>
        <v/>
      </c>
      <c r="Q204" s="42">
        <f>IF(O204&lt;=0,0,MIN(O204+P204,Plan!$E$26))</f>
        <v/>
      </c>
      <c r="R204" s="44">
        <f>MAX(0,O204+P204-Q204)</f>
        <v/>
      </c>
      <c r="S204" s="42">
        <f>V203</f>
        <v/>
      </c>
      <c r="T204" s="43">
        <f>IF(S204&gt;0,S204*Plan!$D$27/100/12,0)</f>
        <v/>
      </c>
      <c r="U204" s="42">
        <f>IF(S204&lt;=0,0,MIN(S204+T204,Plan!$E$27))</f>
        <v/>
      </c>
      <c r="V204" s="44">
        <f>MAX(0,S204+T204-U204)</f>
        <v/>
      </c>
      <c r="W204" s="42">
        <f>Z203</f>
        <v/>
      </c>
      <c r="X204" s="43">
        <f>IF(W204&gt;0,W204*Plan!$D$28/100/12,0)</f>
        <v/>
      </c>
      <c r="Y204" s="42">
        <f>IF(W204&lt;=0,0,MIN(W204+X204,Plan!$E$28))</f>
        <v/>
      </c>
      <c r="Z204" s="44">
        <f>MAX(0,W204+X204-Y204)</f>
        <v/>
      </c>
      <c r="AA204" s="44">
        <f>F204+J204+N204+R204+V204+Z204</f>
        <v/>
      </c>
    </row>
    <row r="205">
      <c r="A205" s="46" t="n">
        <v>198</v>
      </c>
      <c r="B205" s="47">
        <f>EDATE(Plan!$C$18,197)</f>
        <v/>
      </c>
      <c r="C205" s="48">
        <f>F204</f>
        <v/>
      </c>
      <c r="D205" s="49">
        <f>IF(C205&gt;0,C205*Plan!$D$23/100/12,0)</f>
        <v/>
      </c>
      <c r="E205" s="48">
        <f>IF(C205&lt;=0,0,MIN(C205+D205,Plan!$E$23))</f>
        <v/>
      </c>
      <c r="F205" s="50">
        <f>MAX(0,C205+D205-E205)</f>
        <v/>
      </c>
      <c r="G205" s="48">
        <f>J204</f>
        <v/>
      </c>
      <c r="H205" s="49">
        <f>IF(G205&gt;0,G205*Plan!$D$24/100/12,0)</f>
        <v/>
      </c>
      <c r="I205" s="48">
        <f>IF(G205&lt;=0,0,MIN(G205+H205,Plan!$E$24))</f>
        <v/>
      </c>
      <c r="J205" s="50">
        <f>MAX(0,G205+H205-I205)</f>
        <v/>
      </c>
      <c r="K205" s="48">
        <f>N204</f>
        <v/>
      </c>
      <c r="L205" s="49">
        <f>IF(K205&gt;0,K205*Plan!$D$25/100/12,0)</f>
        <v/>
      </c>
      <c r="M205" s="48">
        <f>IF(K205&lt;=0,0,MIN(K205+L205,Plan!$E$25))</f>
        <v/>
      </c>
      <c r="N205" s="50">
        <f>MAX(0,K205+L205-M205)</f>
        <v/>
      </c>
      <c r="O205" s="48">
        <f>R204</f>
        <v/>
      </c>
      <c r="P205" s="49">
        <f>IF(O205&gt;0,O205*Plan!$D$26/100/12,0)</f>
        <v/>
      </c>
      <c r="Q205" s="48">
        <f>IF(O205&lt;=0,0,MIN(O205+P205,Plan!$E$26))</f>
        <v/>
      </c>
      <c r="R205" s="50">
        <f>MAX(0,O205+P205-Q205)</f>
        <v/>
      </c>
      <c r="S205" s="48">
        <f>V204</f>
        <v/>
      </c>
      <c r="T205" s="49">
        <f>IF(S205&gt;0,S205*Plan!$D$27/100/12,0)</f>
        <v/>
      </c>
      <c r="U205" s="48">
        <f>IF(S205&lt;=0,0,MIN(S205+T205,Plan!$E$27))</f>
        <v/>
      </c>
      <c r="V205" s="50">
        <f>MAX(0,S205+T205-U205)</f>
        <v/>
      </c>
      <c r="W205" s="48">
        <f>Z204</f>
        <v/>
      </c>
      <c r="X205" s="49">
        <f>IF(W205&gt;0,W205*Plan!$D$28/100/12,0)</f>
        <v/>
      </c>
      <c r="Y205" s="48">
        <f>IF(W205&lt;=0,0,MIN(W205+X205,Plan!$E$28))</f>
        <v/>
      </c>
      <c r="Z205" s="50">
        <f>MAX(0,W205+X205-Y205)</f>
        <v/>
      </c>
      <c r="AA205" s="50">
        <f>F205+J205+N205+R205+V205+Z205</f>
        <v/>
      </c>
    </row>
    <row r="206">
      <c r="A206" s="40" t="n">
        <v>199</v>
      </c>
      <c r="B206" s="41">
        <f>EDATE(Plan!$C$18,198)</f>
        <v/>
      </c>
      <c r="C206" s="42">
        <f>F205</f>
        <v/>
      </c>
      <c r="D206" s="43">
        <f>IF(C206&gt;0,C206*Plan!$D$23/100/12,0)</f>
        <v/>
      </c>
      <c r="E206" s="42">
        <f>IF(C206&lt;=0,0,MIN(C206+D206,Plan!$E$23))</f>
        <v/>
      </c>
      <c r="F206" s="44">
        <f>MAX(0,C206+D206-E206)</f>
        <v/>
      </c>
      <c r="G206" s="42">
        <f>J205</f>
        <v/>
      </c>
      <c r="H206" s="43">
        <f>IF(G206&gt;0,G206*Plan!$D$24/100/12,0)</f>
        <v/>
      </c>
      <c r="I206" s="42">
        <f>IF(G206&lt;=0,0,MIN(G206+H206,Plan!$E$24))</f>
        <v/>
      </c>
      <c r="J206" s="44">
        <f>MAX(0,G206+H206-I206)</f>
        <v/>
      </c>
      <c r="K206" s="42">
        <f>N205</f>
        <v/>
      </c>
      <c r="L206" s="43">
        <f>IF(K206&gt;0,K206*Plan!$D$25/100/12,0)</f>
        <v/>
      </c>
      <c r="M206" s="42">
        <f>IF(K206&lt;=0,0,MIN(K206+L206,Plan!$E$25))</f>
        <v/>
      </c>
      <c r="N206" s="44">
        <f>MAX(0,K206+L206-M206)</f>
        <v/>
      </c>
      <c r="O206" s="42">
        <f>R205</f>
        <v/>
      </c>
      <c r="P206" s="43">
        <f>IF(O206&gt;0,O206*Plan!$D$26/100/12,0)</f>
        <v/>
      </c>
      <c r="Q206" s="42">
        <f>IF(O206&lt;=0,0,MIN(O206+P206,Plan!$E$26))</f>
        <v/>
      </c>
      <c r="R206" s="44">
        <f>MAX(0,O206+P206-Q206)</f>
        <v/>
      </c>
      <c r="S206" s="42">
        <f>V205</f>
        <v/>
      </c>
      <c r="T206" s="43">
        <f>IF(S206&gt;0,S206*Plan!$D$27/100/12,0)</f>
        <v/>
      </c>
      <c r="U206" s="42">
        <f>IF(S206&lt;=0,0,MIN(S206+T206,Plan!$E$27))</f>
        <v/>
      </c>
      <c r="V206" s="44">
        <f>MAX(0,S206+T206-U206)</f>
        <v/>
      </c>
      <c r="W206" s="42">
        <f>Z205</f>
        <v/>
      </c>
      <c r="X206" s="43">
        <f>IF(W206&gt;0,W206*Plan!$D$28/100/12,0)</f>
        <v/>
      </c>
      <c r="Y206" s="42">
        <f>IF(W206&lt;=0,0,MIN(W206+X206,Plan!$E$28))</f>
        <v/>
      </c>
      <c r="Z206" s="44">
        <f>MAX(0,W206+X206-Y206)</f>
        <v/>
      </c>
      <c r="AA206" s="44">
        <f>F206+J206+N206+R206+V206+Z206</f>
        <v/>
      </c>
    </row>
    <row r="207">
      <c r="A207" s="46" t="n">
        <v>200</v>
      </c>
      <c r="B207" s="47">
        <f>EDATE(Plan!$C$18,199)</f>
        <v/>
      </c>
      <c r="C207" s="48">
        <f>F206</f>
        <v/>
      </c>
      <c r="D207" s="49">
        <f>IF(C207&gt;0,C207*Plan!$D$23/100/12,0)</f>
        <v/>
      </c>
      <c r="E207" s="48">
        <f>IF(C207&lt;=0,0,MIN(C207+D207,Plan!$E$23))</f>
        <v/>
      </c>
      <c r="F207" s="50">
        <f>MAX(0,C207+D207-E207)</f>
        <v/>
      </c>
      <c r="G207" s="48">
        <f>J206</f>
        <v/>
      </c>
      <c r="H207" s="49">
        <f>IF(G207&gt;0,G207*Plan!$D$24/100/12,0)</f>
        <v/>
      </c>
      <c r="I207" s="48">
        <f>IF(G207&lt;=0,0,MIN(G207+H207,Plan!$E$24))</f>
        <v/>
      </c>
      <c r="J207" s="50">
        <f>MAX(0,G207+H207-I207)</f>
        <v/>
      </c>
      <c r="K207" s="48">
        <f>N206</f>
        <v/>
      </c>
      <c r="L207" s="49">
        <f>IF(K207&gt;0,K207*Plan!$D$25/100/12,0)</f>
        <v/>
      </c>
      <c r="M207" s="48">
        <f>IF(K207&lt;=0,0,MIN(K207+L207,Plan!$E$25))</f>
        <v/>
      </c>
      <c r="N207" s="50">
        <f>MAX(0,K207+L207-M207)</f>
        <v/>
      </c>
      <c r="O207" s="48">
        <f>R206</f>
        <v/>
      </c>
      <c r="P207" s="49">
        <f>IF(O207&gt;0,O207*Plan!$D$26/100/12,0)</f>
        <v/>
      </c>
      <c r="Q207" s="48">
        <f>IF(O207&lt;=0,0,MIN(O207+P207,Plan!$E$26))</f>
        <v/>
      </c>
      <c r="R207" s="50">
        <f>MAX(0,O207+P207-Q207)</f>
        <v/>
      </c>
      <c r="S207" s="48">
        <f>V206</f>
        <v/>
      </c>
      <c r="T207" s="49">
        <f>IF(S207&gt;0,S207*Plan!$D$27/100/12,0)</f>
        <v/>
      </c>
      <c r="U207" s="48">
        <f>IF(S207&lt;=0,0,MIN(S207+T207,Plan!$E$27))</f>
        <v/>
      </c>
      <c r="V207" s="50">
        <f>MAX(0,S207+T207-U207)</f>
        <v/>
      </c>
      <c r="W207" s="48">
        <f>Z206</f>
        <v/>
      </c>
      <c r="X207" s="49">
        <f>IF(W207&gt;0,W207*Plan!$D$28/100/12,0)</f>
        <v/>
      </c>
      <c r="Y207" s="48">
        <f>IF(W207&lt;=0,0,MIN(W207+X207,Plan!$E$28))</f>
        <v/>
      </c>
      <c r="Z207" s="50">
        <f>MAX(0,W207+X207-Y207)</f>
        <v/>
      </c>
      <c r="AA207" s="50">
        <f>F207+J207+N207+R207+V207+Z207</f>
        <v/>
      </c>
    </row>
    <row r="208">
      <c r="A208" s="40" t="n">
        <v>201</v>
      </c>
      <c r="B208" s="41">
        <f>EDATE(Plan!$C$18,200)</f>
        <v/>
      </c>
      <c r="C208" s="42">
        <f>F207</f>
        <v/>
      </c>
      <c r="D208" s="43">
        <f>IF(C208&gt;0,C208*Plan!$D$23/100/12,0)</f>
        <v/>
      </c>
      <c r="E208" s="42">
        <f>IF(C208&lt;=0,0,MIN(C208+D208,Plan!$E$23))</f>
        <v/>
      </c>
      <c r="F208" s="44">
        <f>MAX(0,C208+D208-E208)</f>
        <v/>
      </c>
      <c r="G208" s="42">
        <f>J207</f>
        <v/>
      </c>
      <c r="H208" s="43">
        <f>IF(G208&gt;0,G208*Plan!$D$24/100/12,0)</f>
        <v/>
      </c>
      <c r="I208" s="42">
        <f>IF(G208&lt;=0,0,MIN(G208+H208,Plan!$E$24))</f>
        <v/>
      </c>
      <c r="J208" s="44">
        <f>MAX(0,G208+H208-I208)</f>
        <v/>
      </c>
      <c r="K208" s="42">
        <f>N207</f>
        <v/>
      </c>
      <c r="L208" s="43">
        <f>IF(K208&gt;0,K208*Plan!$D$25/100/12,0)</f>
        <v/>
      </c>
      <c r="M208" s="42">
        <f>IF(K208&lt;=0,0,MIN(K208+L208,Plan!$E$25))</f>
        <v/>
      </c>
      <c r="N208" s="44">
        <f>MAX(0,K208+L208-M208)</f>
        <v/>
      </c>
      <c r="O208" s="42">
        <f>R207</f>
        <v/>
      </c>
      <c r="P208" s="43">
        <f>IF(O208&gt;0,O208*Plan!$D$26/100/12,0)</f>
        <v/>
      </c>
      <c r="Q208" s="42">
        <f>IF(O208&lt;=0,0,MIN(O208+P208,Plan!$E$26))</f>
        <v/>
      </c>
      <c r="R208" s="44">
        <f>MAX(0,O208+P208-Q208)</f>
        <v/>
      </c>
      <c r="S208" s="42">
        <f>V207</f>
        <v/>
      </c>
      <c r="T208" s="43">
        <f>IF(S208&gt;0,S208*Plan!$D$27/100/12,0)</f>
        <v/>
      </c>
      <c r="U208" s="42">
        <f>IF(S208&lt;=0,0,MIN(S208+T208,Plan!$E$27))</f>
        <v/>
      </c>
      <c r="V208" s="44">
        <f>MAX(0,S208+T208-U208)</f>
        <v/>
      </c>
      <c r="W208" s="42">
        <f>Z207</f>
        <v/>
      </c>
      <c r="X208" s="43">
        <f>IF(W208&gt;0,W208*Plan!$D$28/100/12,0)</f>
        <v/>
      </c>
      <c r="Y208" s="42">
        <f>IF(W208&lt;=0,0,MIN(W208+X208,Plan!$E$28))</f>
        <v/>
      </c>
      <c r="Z208" s="44">
        <f>MAX(0,W208+X208-Y208)</f>
        <v/>
      </c>
      <c r="AA208" s="44">
        <f>F208+J208+N208+R208+V208+Z208</f>
        <v/>
      </c>
    </row>
    <row r="209">
      <c r="A209" s="46" t="n">
        <v>202</v>
      </c>
      <c r="B209" s="47">
        <f>EDATE(Plan!$C$18,201)</f>
        <v/>
      </c>
      <c r="C209" s="48">
        <f>F208</f>
        <v/>
      </c>
      <c r="D209" s="49">
        <f>IF(C209&gt;0,C209*Plan!$D$23/100/12,0)</f>
        <v/>
      </c>
      <c r="E209" s="48">
        <f>IF(C209&lt;=0,0,MIN(C209+D209,Plan!$E$23))</f>
        <v/>
      </c>
      <c r="F209" s="50">
        <f>MAX(0,C209+D209-E209)</f>
        <v/>
      </c>
      <c r="G209" s="48">
        <f>J208</f>
        <v/>
      </c>
      <c r="H209" s="49">
        <f>IF(G209&gt;0,G209*Plan!$D$24/100/12,0)</f>
        <v/>
      </c>
      <c r="I209" s="48">
        <f>IF(G209&lt;=0,0,MIN(G209+H209,Plan!$E$24))</f>
        <v/>
      </c>
      <c r="J209" s="50">
        <f>MAX(0,G209+H209-I209)</f>
        <v/>
      </c>
      <c r="K209" s="48">
        <f>N208</f>
        <v/>
      </c>
      <c r="L209" s="49">
        <f>IF(K209&gt;0,K209*Plan!$D$25/100/12,0)</f>
        <v/>
      </c>
      <c r="M209" s="48">
        <f>IF(K209&lt;=0,0,MIN(K209+L209,Plan!$E$25))</f>
        <v/>
      </c>
      <c r="N209" s="50">
        <f>MAX(0,K209+L209-M209)</f>
        <v/>
      </c>
      <c r="O209" s="48">
        <f>R208</f>
        <v/>
      </c>
      <c r="P209" s="49">
        <f>IF(O209&gt;0,O209*Plan!$D$26/100/12,0)</f>
        <v/>
      </c>
      <c r="Q209" s="48">
        <f>IF(O209&lt;=0,0,MIN(O209+P209,Plan!$E$26))</f>
        <v/>
      </c>
      <c r="R209" s="50">
        <f>MAX(0,O209+P209-Q209)</f>
        <v/>
      </c>
      <c r="S209" s="48">
        <f>V208</f>
        <v/>
      </c>
      <c r="T209" s="49">
        <f>IF(S209&gt;0,S209*Plan!$D$27/100/12,0)</f>
        <v/>
      </c>
      <c r="U209" s="48">
        <f>IF(S209&lt;=0,0,MIN(S209+T209,Plan!$E$27))</f>
        <v/>
      </c>
      <c r="V209" s="50">
        <f>MAX(0,S209+T209-U209)</f>
        <v/>
      </c>
      <c r="W209" s="48">
        <f>Z208</f>
        <v/>
      </c>
      <c r="X209" s="49">
        <f>IF(W209&gt;0,W209*Plan!$D$28/100/12,0)</f>
        <v/>
      </c>
      <c r="Y209" s="48">
        <f>IF(W209&lt;=0,0,MIN(W209+X209,Plan!$E$28))</f>
        <v/>
      </c>
      <c r="Z209" s="50">
        <f>MAX(0,W209+X209-Y209)</f>
        <v/>
      </c>
      <c r="AA209" s="50">
        <f>F209+J209+N209+R209+V209+Z209</f>
        <v/>
      </c>
    </row>
    <row r="210">
      <c r="A210" s="40" t="n">
        <v>203</v>
      </c>
      <c r="B210" s="41">
        <f>EDATE(Plan!$C$18,202)</f>
        <v/>
      </c>
      <c r="C210" s="42">
        <f>F209</f>
        <v/>
      </c>
      <c r="D210" s="43">
        <f>IF(C210&gt;0,C210*Plan!$D$23/100/12,0)</f>
        <v/>
      </c>
      <c r="E210" s="42">
        <f>IF(C210&lt;=0,0,MIN(C210+D210,Plan!$E$23))</f>
        <v/>
      </c>
      <c r="F210" s="44">
        <f>MAX(0,C210+D210-E210)</f>
        <v/>
      </c>
      <c r="G210" s="42">
        <f>J209</f>
        <v/>
      </c>
      <c r="H210" s="43">
        <f>IF(G210&gt;0,G210*Plan!$D$24/100/12,0)</f>
        <v/>
      </c>
      <c r="I210" s="42">
        <f>IF(G210&lt;=0,0,MIN(G210+H210,Plan!$E$24))</f>
        <v/>
      </c>
      <c r="J210" s="44">
        <f>MAX(0,G210+H210-I210)</f>
        <v/>
      </c>
      <c r="K210" s="42">
        <f>N209</f>
        <v/>
      </c>
      <c r="L210" s="43">
        <f>IF(K210&gt;0,K210*Plan!$D$25/100/12,0)</f>
        <v/>
      </c>
      <c r="M210" s="42">
        <f>IF(K210&lt;=0,0,MIN(K210+L210,Plan!$E$25))</f>
        <v/>
      </c>
      <c r="N210" s="44">
        <f>MAX(0,K210+L210-M210)</f>
        <v/>
      </c>
      <c r="O210" s="42">
        <f>R209</f>
        <v/>
      </c>
      <c r="P210" s="43">
        <f>IF(O210&gt;0,O210*Plan!$D$26/100/12,0)</f>
        <v/>
      </c>
      <c r="Q210" s="42">
        <f>IF(O210&lt;=0,0,MIN(O210+P210,Plan!$E$26))</f>
        <v/>
      </c>
      <c r="R210" s="44">
        <f>MAX(0,O210+P210-Q210)</f>
        <v/>
      </c>
      <c r="S210" s="42">
        <f>V209</f>
        <v/>
      </c>
      <c r="T210" s="43">
        <f>IF(S210&gt;0,S210*Plan!$D$27/100/12,0)</f>
        <v/>
      </c>
      <c r="U210" s="42">
        <f>IF(S210&lt;=0,0,MIN(S210+T210,Plan!$E$27))</f>
        <v/>
      </c>
      <c r="V210" s="44">
        <f>MAX(0,S210+T210-U210)</f>
        <v/>
      </c>
      <c r="W210" s="42">
        <f>Z209</f>
        <v/>
      </c>
      <c r="X210" s="43">
        <f>IF(W210&gt;0,W210*Plan!$D$28/100/12,0)</f>
        <v/>
      </c>
      <c r="Y210" s="42">
        <f>IF(W210&lt;=0,0,MIN(W210+X210,Plan!$E$28))</f>
        <v/>
      </c>
      <c r="Z210" s="44">
        <f>MAX(0,W210+X210-Y210)</f>
        <v/>
      </c>
      <c r="AA210" s="44">
        <f>F210+J210+N210+R210+V210+Z210</f>
        <v/>
      </c>
    </row>
    <row r="211">
      <c r="A211" s="46" t="n">
        <v>204</v>
      </c>
      <c r="B211" s="47">
        <f>EDATE(Plan!$C$18,203)</f>
        <v/>
      </c>
      <c r="C211" s="48">
        <f>F210</f>
        <v/>
      </c>
      <c r="D211" s="49">
        <f>IF(C211&gt;0,C211*Plan!$D$23/100/12,0)</f>
        <v/>
      </c>
      <c r="E211" s="48">
        <f>IF(C211&lt;=0,0,MIN(C211+D211,Plan!$E$23))</f>
        <v/>
      </c>
      <c r="F211" s="50">
        <f>MAX(0,C211+D211-E211)</f>
        <v/>
      </c>
      <c r="G211" s="48">
        <f>J210</f>
        <v/>
      </c>
      <c r="H211" s="49">
        <f>IF(G211&gt;0,G211*Plan!$D$24/100/12,0)</f>
        <v/>
      </c>
      <c r="I211" s="48">
        <f>IF(G211&lt;=0,0,MIN(G211+H211,Plan!$E$24))</f>
        <v/>
      </c>
      <c r="J211" s="50">
        <f>MAX(0,G211+H211-I211)</f>
        <v/>
      </c>
      <c r="K211" s="48">
        <f>N210</f>
        <v/>
      </c>
      <c r="L211" s="49">
        <f>IF(K211&gt;0,K211*Plan!$D$25/100/12,0)</f>
        <v/>
      </c>
      <c r="M211" s="48">
        <f>IF(K211&lt;=0,0,MIN(K211+L211,Plan!$E$25))</f>
        <v/>
      </c>
      <c r="N211" s="50">
        <f>MAX(0,K211+L211-M211)</f>
        <v/>
      </c>
      <c r="O211" s="48">
        <f>R210</f>
        <v/>
      </c>
      <c r="P211" s="49">
        <f>IF(O211&gt;0,O211*Plan!$D$26/100/12,0)</f>
        <v/>
      </c>
      <c r="Q211" s="48">
        <f>IF(O211&lt;=0,0,MIN(O211+P211,Plan!$E$26))</f>
        <v/>
      </c>
      <c r="R211" s="50">
        <f>MAX(0,O211+P211-Q211)</f>
        <v/>
      </c>
      <c r="S211" s="48">
        <f>V210</f>
        <v/>
      </c>
      <c r="T211" s="49">
        <f>IF(S211&gt;0,S211*Plan!$D$27/100/12,0)</f>
        <v/>
      </c>
      <c r="U211" s="48">
        <f>IF(S211&lt;=0,0,MIN(S211+T211,Plan!$E$27))</f>
        <v/>
      </c>
      <c r="V211" s="50">
        <f>MAX(0,S211+T211-U211)</f>
        <v/>
      </c>
      <c r="W211" s="48">
        <f>Z210</f>
        <v/>
      </c>
      <c r="X211" s="49">
        <f>IF(W211&gt;0,W211*Plan!$D$28/100/12,0)</f>
        <v/>
      </c>
      <c r="Y211" s="48">
        <f>IF(W211&lt;=0,0,MIN(W211+X211,Plan!$E$28))</f>
        <v/>
      </c>
      <c r="Z211" s="50">
        <f>MAX(0,W211+X211-Y211)</f>
        <v/>
      </c>
      <c r="AA211" s="50">
        <f>F211+J211+N211+R211+V211+Z211</f>
        <v/>
      </c>
    </row>
    <row r="212">
      <c r="A212" s="40" t="n">
        <v>205</v>
      </c>
      <c r="B212" s="41">
        <f>EDATE(Plan!$C$18,204)</f>
        <v/>
      </c>
      <c r="C212" s="42">
        <f>F211</f>
        <v/>
      </c>
      <c r="D212" s="43">
        <f>IF(C212&gt;0,C212*Plan!$D$23/100/12,0)</f>
        <v/>
      </c>
      <c r="E212" s="42">
        <f>IF(C212&lt;=0,0,MIN(C212+D212,Plan!$E$23))</f>
        <v/>
      </c>
      <c r="F212" s="44">
        <f>MAX(0,C212+D212-E212)</f>
        <v/>
      </c>
      <c r="G212" s="42">
        <f>J211</f>
        <v/>
      </c>
      <c r="H212" s="43">
        <f>IF(G212&gt;0,G212*Plan!$D$24/100/12,0)</f>
        <v/>
      </c>
      <c r="I212" s="42">
        <f>IF(G212&lt;=0,0,MIN(G212+H212,Plan!$E$24))</f>
        <v/>
      </c>
      <c r="J212" s="44">
        <f>MAX(0,G212+H212-I212)</f>
        <v/>
      </c>
      <c r="K212" s="42">
        <f>N211</f>
        <v/>
      </c>
      <c r="L212" s="43">
        <f>IF(K212&gt;0,K212*Plan!$D$25/100/12,0)</f>
        <v/>
      </c>
      <c r="M212" s="42">
        <f>IF(K212&lt;=0,0,MIN(K212+L212,Plan!$E$25))</f>
        <v/>
      </c>
      <c r="N212" s="44">
        <f>MAX(0,K212+L212-M212)</f>
        <v/>
      </c>
      <c r="O212" s="42">
        <f>R211</f>
        <v/>
      </c>
      <c r="P212" s="43">
        <f>IF(O212&gt;0,O212*Plan!$D$26/100/12,0)</f>
        <v/>
      </c>
      <c r="Q212" s="42">
        <f>IF(O212&lt;=0,0,MIN(O212+P212,Plan!$E$26))</f>
        <v/>
      </c>
      <c r="R212" s="44">
        <f>MAX(0,O212+P212-Q212)</f>
        <v/>
      </c>
      <c r="S212" s="42">
        <f>V211</f>
        <v/>
      </c>
      <c r="T212" s="43">
        <f>IF(S212&gt;0,S212*Plan!$D$27/100/12,0)</f>
        <v/>
      </c>
      <c r="U212" s="42">
        <f>IF(S212&lt;=0,0,MIN(S212+T212,Plan!$E$27))</f>
        <v/>
      </c>
      <c r="V212" s="44">
        <f>MAX(0,S212+T212-U212)</f>
        <v/>
      </c>
      <c r="W212" s="42">
        <f>Z211</f>
        <v/>
      </c>
      <c r="X212" s="43">
        <f>IF(W212&gt;0,W212*Plan!$D$28/100/12,0)</f>
        <v/>
      </c>
      <c r="Y212" s="42">
        <f>IF(W212&lt;=0,0,MIN(W212+X212,Plan!$E$28))</f>
        <v/>
      </c>
      <c r="Z212" s="44">
        <f>MAX(0,W212+X212-Y212)</f>
        <v/>
      </c>
      <c r="AA212" s="44">
        <f>F212+J212+N212+R212+V212+Z212</f>
        <v/>
      </c>
    </row>
    <row r="213">
      <c r="A213" s="46" t="n">
        <v>206</v>
      </c>
      <c r="B213" s="47">
        <f>EDATE(Plan!$C$18,205)</f>
        <v/>
      </c>
      <c r="C213" s="48">
        <f>F212</f>
        <v/>
      </c>
      <c r="D213" s="49">
        <f>IF(C213&gt;0,C213*Plan!$D$23/100/12,0)</f>
        <v/>
      </c>
      <c r="E213" s="48">
        <f>IF(C213&lt;=0,0,MIN(C213+D213,Plan!$E$23))</f>
        <v/>
      </c>
      <c r="F213" s="50">
        <f>MAX(0,C213+D213-E213)</f>
        <v/>
      </c>
      <c r="G213" s="48">
        <f>J212</f>
        <v/>
      </c>
      <c r="H213" s="49">
        <f>IF(G213&gt;0,G213*Plan!$D$24/100/12,0)</f>
        <v/>
      </c>
      <c r="I213" s="48">
        <f>IF(G213&lt;=0,0,MIN(G213+H213,Plan!$E$24))</f>
        <v/>
      </c>
      <c r="J213" s="50">
        <f>MAX(0,G213+H213-I213)</f>
        <v/>
      </c>
      <c r="K213" s="48">
        <f>N212</f>
        <v/>
      </c>
      <c r="L213" s="49">
        <f>IF(K213&gt;0,K213*Plan!$D$25/100/12,0)</f>
        <v/>
      </c>
      <c r="M213" s="48">
        <f>IF(K213&lt;=0,0,MIN(K213+L213,Plan!$E$25))</f>
        <v/>
      </c>
      <c r="N213" s="50">
        <f>MAX(0,K213+L213-M213)</f>
        <v/>
      </c>
      <c r="O213" s="48">
        <f>R212</f>
        <v/>
      </c>
      <c r="P213" s="49">
        <f>IF(O213&gt;0,O213*Plan!$D$26/100/12,0)</f>
        <v/>
      </c>
      <c r="Q213" s="48">
        <f>IF(O213&lt;=0,0,MIN(O213+P213,Plan!$E$26))</f>
        <v/>
      </c>
      <c r="R213" s="50">
        <f>MAX(0,O213+P213-Q213)</f>
        <v/>
      </c>
      <c r="S213" s="48">
        <f>V212</f>
        <v/>
      </c>
      <c r="T213" s="49">
        <f>IF(S213&gt;0,S213*Plan!$D$27/100/12,0)</f>
        <v/>
      </c>
      <c r="U213" s="48">
        <f>IF(S213&lt;=0,0,MIN(S213+T213,Plan!$E$27))</f>
        <v/>
      </c>
      <c r="V213" s="50">
        <f>MAX(0,S213+T213-U213)</f>
        <v/>
      </c>
      <c r="W213" s="48">
        <f>Z212</f>
        <v/>
      </c>
      <c r="X213" s="49">
        <f>IF(W213&gt;0,W213*Plan!$D$28/100/12,0)</f>
        <v/>
      </c>
      <c r="Y213" s="48">
        <f>IF(W213&lt;=0,0,MIN(W213+X213,Plan!$E$28))</f>
        <v/>
      </c>
      <c r="Z213" s="50">
        <f>MAX(0,W213+X213-Y213)</f>
        <v/>
      </c>
      <c r="AA213" s="50">
        <f>F213+J213+N213+R213+V213+Z213</f>
        <v/>
      </c>
    </row>
    <row r="214">
      <c r="A214" s="40" t="n">
        <v>207</v>
      </c>
      <c r="B214" s="41">
        <f>EDATE(Plan!$C$18,206)</f>
        <v/>
      </c>
      <c r="C214" s="42">
        <f>F213</f>
        <v/>
      </c>
      <c r="D214" s="43">
        <f>IF(C214&gt;0,C214*Plan!$D$23/100/12,0)</f>
        <v/>
      </c>
      <c r="E214" s="42">
        <f>IF(C214&lt;=0,0,MIN(C214+D214,Plan!$E$23))</f>
        <v/>
      </c>
      <c r="F214" s="44">
        <f>MAX(0,C214+D214-E214)</f>
        <v/>
      </c>
      <c r="G214" s="42">
        <f>J213</f>
        <v/>
      </c>
      <c r="H214" s="43">
        <f>IF(G214&gt;0,G214*Plan!$D$24/100/12,0)</f>
        <v/>
      </c>
      <c r="I214" s="42">
        <f>IF(G214&lt;=0,0,MIN(G214+H214,Plan!$E$24))</f>
        <v/>
      </c>
      <c r="J214" s="44">
        <f>MAX(0,G214+H214-I214)</f>
        <v/>
      </c>
      <c r="K214" s="42">
        <f>N213</f>
        <v/>
      </c>
      <c r="L214" s="43">
        <f>IF(K214&gt;0,K214*Plan!$D$25/100/12,0)</f>
        <v/>
      </c>
      <c r="M214" s="42">
        <f>IF(K214&lt;=0,0,MIN(K214+L214,Plan!$E$25))</f>
        <v/>
      </c>
      <c r="N214" s="44">
        <f>MAX(0,K214+L214-M214)</f>
        <v/>
      </c>
      <c r="O214" s="42">
        <f>R213</f>
        <v/>
      </c>
      <c r="P214" s="43">
        <f>IF(O214&gt;0,O214*Plan!$D$26/100/12,0)</f>
        <v/>
      </c>
      <c r="Q214" s="42">
        <f>IF(O214&lt;=0,0,MIN(O214+P214,Plan!$E$26))</f>
        <v/>
      </c>
      <c r="R214" s="44">
        <f>MAX(0,O214+P214-Q214)</f>
        <v/>
      </c>
      <c r="S214" s="42">
        <f>V213</f>
        <v/>
      </c>
      <c r="T214" s="43">
        <f>IF(S214&gt;0,S214*Plan!$D$27/100/12,0)</f>
        <v/>
      </c>
      <c r="U214" s="42">
        <f>IF(S214&lt;=0,0,MIN(S214+T214,Plan!$E$27))</f>
        <v/>
      </c>
      <c r="V214" s="44">
        <f>MAX(0,S214+T214-U214)</f>
        <v/>
      </c>
      <c r="W214" s="42">
        <f>Z213</f>
        <v/>
      </c>
      <c r="X214" s="43">
        <f>IF(W214&gt;0,W214*Plan!$D$28/100/12,0)</f>
        <v/>
      </c>
      <c r="Y214" s="42">
        <f>IF(W214&lt;=0,0,MIN(W214+X214,Plan!$E$28))</f>
        <v/>
      </c>
      <c r="Z214" s="44">
        <f>MAX(0,W214+X214-Y214)</f>
        <v/>
      </c>
      <c r="AA214" s="44">
        <f>F214+J214+N214+R214+V214+Z214</f>
        <v/>
      </c>
    </row>
    <row r="215">
      <c r="A215" s="46" t="n">
        <v>208</v>
      </c>
      <c r="B215" s="47">
        <f>EDATE(Plan!$C$18,207)</f>
        <v/>
      </c>
      <c r="C215" s="48">
        <f>F214</f>
        <v/>
      </c>
      <c r="D215" s="49">
        <f>IF(C215&gt;0,C215*Plan!$D$23/100/12,0)</f>
        <v/>
      </c>
      <c r="E215" s="48">
        <f>IF(C215&lt;=0,0,MIN(C215+D215,Plan!$E$23))</f>
        <v/>
      </c>
      <c r="F215" s="50">
        <f>MAX(0,C215+D215-E215)</f>
        <v/>
      </c>
      <c r="G215" s="48">
        <f>J214</f>
        <v/>
      </c>
      <c r="H215" s="49">
        <f>IF(G215&gt;0,G215*Plan!$D$24/100/12,0)</f>
        <v/>
      </c>
      <c r="I215" s="48">
        <f>IF(G215&lt;=0,0,MIN(G215+H215,Plan!$E$24))</f>
        <v/>
      </c>
      <c r="J215" s="50">
        <f>MAX(0,G215+H215-I215)</f>
        <v/>
      </c>
      <c r="K215" s="48">
        <f>N214</f>
        <v/>
      </c>
      <c r="L215" s="49">
        <f>IF(K215&gt;0,K215*Plan!$D$25/100/12,0)</f>
        <v/>
      </c>
      <c r="M215" s="48">
        <f>IF(K215&lt;=0,0,MIN(K215+L215,Plan!$E$25))</f>
        <v/>
      </c>
      <c r="N215" s="50">
        <f>MAX(0,K215+L215-M215)</f>
        <v/>
      </c>
      <c r="O215" s="48">
        <f>R214</f>
        <v/>
      </c>
      <c r="P215" s="49">
        <f>IF(O215&gt;0,O215*Plan!$D$26/100/12,0)</f>
        <v/>
      </c>
      <c r="Q215" s="48">
        <f>IF(O215&lt;=0,0,MIN(O215+P215,Plan!$E$26))</f>
        <v/>
      </c>
      <c r="R215" s="50">
        <f>MAX(0,O215+P215-Q215)</f>
        <v/>
      </c>
      <c r="S215" s="48">
        <f>V214</f>
        <v/>
      </c>
      <c r="T215" s="49">
        <f>IF(S215&gt;0,S215*Plan!$D$27/100/12,0)</f>
        <v/>
      </c>
      <c r="U215" s="48">
        <f>IF(S215&lt;=0,0,MIN(S215+T215,Plan!$E$27))</f>
        <v/>
      </c>
      <c r="V215" s="50">
        <f>MAX(0,S215+T215-U215)</f>
        <v/>
      </c>
      <c r="W215" s="48">
        <f>Z214</f>
        <v/>
      </c>
      <c r="X215" s="49">
        <f>IF(W215&gt;0,W215*Plan!$D$28/100/12,0)</f>
        <v/>
      </c>
      <c r="Y215" s="48">
        <f>IF(W215&lt;=0,0,MIN(W215+X215,Plan!$E$28))</f>
        <v/>
      </c>
      <c r="Z215" s="50">
        <f>MAX(0,W215+X215-Y215)</f>
        <v/>
      </c>
      <c r="AA215" s="50">
        <f>F215+J215+N215+R215+V215+Z215</f>
        <v/>
      </c>
    </row>
    <row r="216">
      <c r="A216" s="40" t="n">
        <v>209</v>
      </c>
      <c r="B216" s="41">
        <f>EDATE(Plan!$C$18,208)</f>
        <v/>
      </c>
      <c r="C216" s="42">
        <f>F215</f>
        <v/>
      </c>
      <c r="D216" s="43">
        <f>IF(C216&gt;0,C216*Plan!$D$23/100/12,0)</f>
        <v/>
      </c>
      <c r="E216" s="42">
        <f>IF(C216&lt;=0,0,MIN(C216+D216,Plan!$E$23))</f>
        <v/>
      </c>
      <c r="F216" s="44">
        <f>MAX(0,C216+D216-E216)</f>
        <v/>
      </c>
      <c r="G216" s="42">
        <f>J215</f>
        <v/>
      </c>
      <c r="H216" s="43">
        <f>IF(G216&gt;0,G216*Plan!$D$24/100/12,0)</f>
        <v/>
      </c>
      <c r="I216" s="42">
        <f>IF(G216&lt;=0,0,MIN(G216+H216,Plan!$E$24))</f>
        <v/>
      </c>
      <c r="J216" s="44">
        <f>MAX(0,G216+H216-I216)</f>
        <v/>
      </c>
      <c r="K216" s="42">
        <f>N215</f>
        <v/>
      </c>
      <c r="L216" s="43">
        <f>IF(K216&gt;0,K216*Plan!$D$25/100/12,0)</f>
        <v/>
      </c>
      <c r="M216" s="42">
        <f>IF(K216&lt;=0,0,MIN(K216+L216,Plan!$E$25))</f>
        <v/>
      </c>
      <c r="N216" s="44">
        <f>MAX(0,K216+L216-M216)</f>
        <v/>
      </c>
      <c r="O216" s="42">
        <f>R215</f>
        <v/>
      </c>
      <c r="P216" s="43">
        <f>IF(O216&gt;0,O216*Plan!$D$26/100/12,0)</f>
        <v/>
      </c>
      <c r="Q216" s="42">
        <f>IF(O216&lt;=0,0,MIN(O216+P216,Plan!$E$26))</f>
        <v/>
      </c>
      <c r="R216" s="44">
        <f>MAX(0,O216+P216-Q216)</f>
        <v/>
      </c>
      <c r="S216" s="42">
        <f>V215</f>
        <v/>
      </c>
      <c r="T216" s="43">
        <f>IF(S216&gt;0,S216*Plan!$D$27/100/12,0)</f>
        <v/>
      </c>
      <c r="U216" s="42">
        <f>IF(S216&lt;=0,0,MIN(S216+T216,Plan!$E$27))</f>
        <v/>
      </c>
      <c r="V216" s="44">
        <f>MAX(0,S216+T216-U216)</f>
        <v/>
      </c>
      <c r="W216" s="42">
        <f>Z215</f>
        <v/>
      </c>
      <c r="X216" s="43">
        <f>IF(W216&gt;0,W216*Plan!$D$28/100/12,0)</f>
        <v/>
      </c>
      <c r="Y216" s="42">
        <f>IF(W216&lt;=0,0,MIN(W216+X216,Plan!$E$28))</f>
        <v/>
      </c>
      <c r="Z216" s="44">
        <f>MAX(0,W216+X216-Y216)</f>
        <v/>
      </c>
      <c r="AA216" s="44">
        <f>F216+J216+N216+R216+V216+Z216</f>
        <v/>
      </c>
    </row>
    <row r="217">
      <c r="A217" s="46" t="n">
        <v>210</v>
      </c>
      <c r="B217" s="47">
        <f>EDATE(Plan!$C$18,209)</f>
        <v/>
      </c>
      <c r="C217" s="48">
        <f>F216</f>
        <v/>
      </c>
      <c r="D217" s="49">
        <f>IF(C217&gt;0,C217*Plan!$D$23/100/12,0)</f>
        <v/>
      </c>
      <c r="E217" s="48">
        <f>IF(C217&lt;=0,0,MIN(C217+D217,Plan!$E$23))</f>
        <v/>
      </c>
      <c r="F217" s="50">
        <f>MAX(0,C217+D217-E217)</f>
        <v/>
      </c>
      <c r="G217" s="48">
        <f>J216</f>
        <v/>
      </c>
      <c r="H217" s="49">
        <f>IF(G217&gt;0,G217*Plan!$D$24/100/12,0)</f>
        <v/>
      </c>
      <c r="I217" s="48">
        <f>IF(G217&lt;=0,0,MIN(G217+H217,Plan!$E$24))</f>
        <v/>
      </c>
      <c r="J217" s="50">
        <f>MAX(0,G217+H217-I217)</f>
        <v/>
      </c>
      <c r="K217" s="48">
        <f>N216</f>
        <v/>
      </c>
      <c r="L217" s="49">
        <f>IF(K217&gt;0,K217*Plan!$D$25/100/12,0)</f>
        <v/>
      </c>
      <c r="M217" s="48">
        <f>IF(K217&lt;=0,0,MIN(K217+L217,Plan!$E$25))</f>
        <v/>
      </c>
      <c r="N217" s="50">
        <f>MAX(0,K217+L217-M217)</f>
        <v/>
      </c>
      <c r="O217" s="48">
        <f>R216</f>
        <v/>
      </c>
      <c r="P217" s="49">
        <f>IF(O217&gt;0,O217*Plan!$D$26/100/12,0)</f>
        <v/>
      </c>
      <c r="Q217" s="48">
        <f>IF(O217&lt;=0,0,MIN(O217+P217,Plan!$E$26))</f>
        <v/>
      </c>
      <c r="R217" s="50">
        <f>MAX(0,O217+P217-Q217)</f>
        <v/>
      </c>
      <c r="S217" s="48">
        <f>V216</f>
        <v/>
      </c>
      <c r="T217" s="49">
        <f>IF(S217&gt;0,S217*Plan!$D$27/100/12,0)</f>
        <v/>
      </c>
      <c r="U217" s="48">
        <f>IF(S217&lt;=0,0,MIN(S217+T217,Plan!$E$27))</f>
        <v/>
      </c>
      <c r="V217" s="50">
        <f>MAX(0,S217+T217-U217)</f>
        <v/>
      </c>
      <c r="W217" s="48">
        <f>Z216</f>
        <v/>
      </c>
      <c r="X217" s="49">
        <f>IF(W217&gt;0,W217*Plan!$D$28/100/12,0)</f>
        <v/>
      </c>
      <c r="Y217" s="48">
        <f>IF(W217&lt;=0,0,MIN(W217+X217,Plan!$E$28))</f>
        <v/>
      </c>
      <c r="Z217" s="50">
        <f>MAX(0,W217+X217-Y217)</f>
        <v/>
      </c>
      <c r="AA217" s="50">
        <f>F217+J217+N217+R217+V217+Z217</f>
        <v/>
      </c>
    </row>
    <row r="218">
      <c r="A218" s="40" t="n">
        <v>211</v>
      </c>
      <c r="B218" s="41">
        <f>EDATE(Plan!$C$18,210)</f>
        <v/>
      </c>
      <c r="C218" s="42">
        <f>F217</f>
        <v/>
      </c>
      <c r="D218" s="43">
        <f>IF(C218&gt;0,C218*Plan!$D$23/100/12,0)</f>
        <v/>
      </c>
      <c r="E218" s="42">
        <f>IF(C218&lt;=0,0,MIN(C218+D218,Plan!$E$23))</f>
        <v/>
      </c>
      <c r="F218" s="44">
        <f>MAX(0,C218+D218-E218)</f>
        <v/>
      </c>
      <c r="G218" s="42">
        <f>J217</f>
        <v/>
      </c>
      <c r="H218" s="43">
        <f>IF(G218&gt;0,G218*Plan!$D$24/100/12,0)</f>
        <v/>
      </c>
      <c r="I218" s="42">
        <f>IF(G218&lt;=0,0,MIN(G218+H218,Plan!$E$24))</f>
        <v/>
      </c>
      <c r="J218" s="44">
        <f>MAX(0,G218+H218-I218)</f>
        <v/>
      </c>
      <c r="K218" s="42">
        <f>N217</f>
        <v/>
      </c>
      <c r="L218" s="43">
        <f>IF(K218&gt;0,K218*Plan!$D$25/100/12,0)</f>
        <v/>
      </c>
      <c r="M218" s="42">
        <f>IF(K218&lt;=0,0,MIN(K218+L218,Plan!$E$25))</f>
        <v/>
      </c>
      <c r="N218" s="44">
        <f>MAX(0,K218+L218-M218)</f>
        <v/>
      </c>
      <c r="O218" s="42">
        <f>R217</f>
        <v/>
      </c>
      <c r="P218" s="43">
        <f>IF(O218&gt;0,O218*Plan!$D$26/100/12,0)</f>
        <v/>
      </c>
      <c r="Q218" s="42">
        <f>IF(O218&lt;=0,0,MIN(O218+P218,Plan!$E$26))</f>
        <v/>
      </c>
      <c r="R218" s="44">
        <f>MAX(0,O218+P218-Q218)</f>
        <v/>
      </c>
      <c r="S218" s="42">
        <f>V217</f>
        <v/>
      </c>
      <c r="T218" s="43">
        <f>IF(S218&gt;0,S218*Plan!$D$27/100/12,0)</f>
        <v/>
      </c>
      <c r="U218" s="42">
        <f>IF(S218&lt;=0,0,MIN(S218+T218,Plan!$E$27))</f>
        <v/>
      </c>
      <c r="V218" s="44">
        <f>MAX(0,S218+T218-U218)</f>
        <v/>
      </c>
      <c r="W218" s="42">
        <f>Z217</f>
        <v/>
      </c>
      <c r="X218" s="43">
        <f>IF(W218&gt;0,W218*Plan!$D$28/100/12,0)</f>
        <v/>
      </c>
      <c r="Y218" s="42">
        <f>IF(W218&lt;=0,0,MIN(W218+X218,Plan!$E$28))</f>
        <v/>
      </c>
      <c r="Z218" s="44">
        <f>MAX(0,W218+X218-Y218)</f>
        <v/>
      </c>
      <c r="AA218" s="44">
        <f>F218+J218+N218+R218+V218+Z218</f>
        <v/>
      </c>
    </row>
    <row r="219">
      <c r="A219" s="46" t="n">
        <v>212</v>
      </c>
      <c r="B219" s="47">
        <f>EDATE(Plan!$C$18,211)</f>
        <v/>
      </c>
      <c r="C219" s="48">
        <f>F218</f>
        <v/>
      </c>
      <c r="D219" s="49">
        <f>IF(C219&gt;0,C219*Plan!$D$23/100/12,0)</f>
        <v/>
      </c>
      <c r="E219" s="48">
        <f>IF(C219&lt;=0,0,MIN(C219+D219,Plan!$E$23))</f>
        <v/>
      </c>
      <c r="F219" s="50">
        <f>MAX(0,C219+D219-E219)</f>
        <v/>
      </c>
      <c r="G219" s="48">
        <f>J218</f>
        <v/>
      </c>
      <c r="H219" s="49">
        <f>IF(G219&gt;0,G219*Plan!$D$24/100/12,0)</f>
        <v/>
      </c>
      <c r="I219" s="48">
        <f>IF(G219&lt;=0,0,MIN(G219+H219,Plan!$E$24))</f>
        <v/>
      </c>
      <c r="J219" s="50">
        <f>MAX(0,G219+H219-I219)</f>
        <v/>
      </c>
      <c r="K219" s="48">
        <f>N218</f>
        <v/>
      </c>
      <c r="L219" s="49">
        <f>IF(K219&gt;0,K219*Plan!$D$25/100/12,0)</f>
        <v/>
      </c>
      <c r="M219" s="48">
        <f>IF(K219&lt;=0,0,MIN(K219+L219,Plan!$E$25))</f>
        <v/>
      </c>
      <c r="N219" s="50">
        <f>MAX(0,K219+L219-M219)</f>
        <v/>
      </c>
      <c r="O219" s="48">
        <f>R218</f>
        <v/>
      </c>
      <c r="P219" s="49">
        <f>IF(O219&gt;0,O219*Plan!$D$26/100/12,0)</f>
        <v/>
      </c>
      <c r="Q219" s="48">
        <f>IF(O219&lt;=0,0,MIN(O219+P219,Plan!$E$26))</f>
        <v/>
      </c>
      <c r="R219" s="50">
        <f>MAX(0,O219+P219-Q219)</f>
        <v/>
      </c>
      <c r="S219" s="48">
        <f>V218</f>
        <v/>
      </c>
      <c r="T219" s="49">
        <f>IF(S219&gt;0,S219*Plan!$D$27/100/12,0)</f>
        <v/>
      </c>
      <c r="U219" s="48">
        <f>IF(S219&lt;=0,0,MIN(S219+T219,Plan!$E$27))</f>
        <v/>
      </c>
      <c r="V219" s="50">
        <f>MAX(0,S219+T219-U219)</f>
        <v/>
      </c>
      <c r="W219" s="48">
        <f>Z218</f>
        <v/>
      </c>
      <c r="X219" s="49">
        <f>IF(W219&gt;0,W219*Plan!$D$28/100/12,0)</f>
        <v/>
      </c>
      <c r="Y219" s="48">
        <f>IF(W219&lt;=0,0,MIN(W219+X219,Plan!$E$28))</f>
        <v/>
      </c>
      <c r="Z219" s="50">
        <f>MAX(0,W219+X219-Y219)</f>
        <v/>
      </c>
      <c r="AA219" s="50">
        <f>F219+J219+N219+R219+V219+Z219</f>
        <v/>
      </c>
    </row>
    <row r="220">
      <c r="A220" s="40" t="n">
        <v>213</v>
      </c>
      <c r="B220" s="41">
        <f>EDATE(Plan!$C$18,212)</f>
        <v/>
      </c>
      <c r="C220" s="42">
        <f>F219</f>
        <v/>
      </c>
      <c r="D220" s="43">
        <f>IF(C220&gt;0,C220*Plan!$D$23/100/12,0)</f>
        <v/>
      </c>
      <c r="E220" s="42">
        <f>IF(C220&lt;=0,0,MIN(C220+D220,Plan!$E$23))</f>
        <v/>
      </c>
      <c r="F220" s="44">
        <f>MAX(0,C220+D220-E220)</f>
        <v/>
      </c>
      <c r="G220" s="42">
        <f>J219</f>
        <v/>
      </c>
      <c r="H220" s="43">
        <f>IF(G220&gt;0,G220*Plan!$D$24/100/12,0)</f>
        <v/>
      </c>
      <c r="I220" s="42">
        <f>IF(G220&lt;=0,0,MIN(G220+H220,Plan!$E$24))</f>
        <v/>
      </c>
      <c r="J220" s="44">
        <f>MAX(0,G220+H220-I220)</f>
        <v/>
      </c>
      <c r="K220" s="42">
        <f>N219</f>
        <v/>
      </c>
      <c r="L220" s="43">
        <f>IF(K220&gt;0,K220*Plan!$D$25/100/12,0)</f>
        <v/>
      </c>
      <c r="M220" s="42">
        <f>IF(K220&lt;=0,0,MIN(K220+L220,Plan!$E$25))</f>
        <v/>
      </c>
      <c r="N220" s="44">
        <f>MAX(0,K220+L220-M220)</f>
        <v/>
      </c>
      <c r="O220" s="42">
        <f>R219</f>
        <v/>
      </c>
      <c r="P220" s="43">
        <f>IF(O220&gt;0,O220*Plan!$D$26/100/12,0)</f>
        <v/>
      </c>
      <c r="Q220" s="42">
        <f>IF(O220&lt;=0,0,MIN(O220+P220,Plan!$E$26))</f>
        <v/>
      </c>
      <c r="R220" s="44">
        <f>MAX(0,O220+P220-Q220)</f>
        <v/>
      </c>
      <c r="S220" s="42">
        <f>V219</f>
        <v/>
      </c>
      <c r="T220" s="43">
        <f>IF(S220&gt;0,S220*Plan!$D$27/100/12,0)</f>
        <v/>
      </c>
      <c r="U220" s="42">
        <f>IF(S220&lt;=0,0,MIN(S220+T220,Plan!$E$27))</f>
        <v/>
      </c>
      <c r="V220" s="44">
        <f>MAX(0,S220+T220-U220)</f>
        <v/>
      </c>
      <c r="W220" s="42">
        <f>Z219</f>
        <v/>
      </c>
      <c r="X220" s="43">
        <f>IF(W220&gt;0,W220*Plan!$D$28/100/12,0)</f>
        <v/>
      </c>
      <c r="Y220" s="42">
        <f>IF(W220&lt;=0,0,MIN(W220+X220,Plan!$E$28))</f>
        <v/>
      </c>
      <c r="Z220" s="44">
        <f>MAX(0,W220+X220-Y220)</f>
        <v/>
      </c>
      <c r="AA220" s="44">
        <f>F220+J220+N220+R220+V220+Z220</f>
        <v/>
      </c>
    </row>
    <row r="221">
      <c r="A221" s="46" t="n">
        <v>214</v>
      </c>
      <c r="B221" s="47">
        <f>EDATE(Plan!$C$18,213)</f>
        <v/>
      </c>
      <c r="C221" s="48">
        <f>F220</f>
        <v/>
      </c>
      <c r="D221" s="49">
        <f>IF(C221&gt;0,C221*Plan!$D$23/100/12,0)</f>
        <v/>
      </c>
      <c r="E221" s="48">
        <f>IF(C221&lt;=0,0,MIN(C221+D221,Plan!$E$23))</f>
        <v/>
      </c>
      <c r="F221" s="50">
        <f>MAX(0,C221+D221-E221)</f>
        <v/>
      </c>
      <c r="G221" s="48">
        <f>J220</f>
        <v/>
      </c>
      <c r="H221" s="49">
        <f>IF(G221&gt;0,G221*Plan!$D$24/100/12,0)</f>
        <v/>
      </c>
      <c r="I221" s="48">
        <f>IF(G221&lt;=0,0,MIN(G221+H221,Plan!$E$24))</f>
        <v/>
      </c>
      <c r="J221" s="50">
        <f>MAX(0,G221+H221-I221)</f>
        <v/>
      </c>
      <c r="K221" s="48">
        <f>N220</f>
        <v/>
      </c>
      <c r="L221" s="49">
        <f>IF(K221&gt;0,K221*Plan!$D$25/100/12,0)</f>
        <v/>
      </c>
      <c r="M221" s="48">
        <f>IF(K221&lt;=0,0,MIN(K221+L221,Plan!$E$25))</f>
        <v/>
      </c>
      <c r="N221" s="50">
        <f>MAX(0,K221+L221-M221)</f>
        <v/>
      </c>
      <c r="O221" s="48">
        <f>R220</f>
        <v/>
      </c>
      <c r="P221" s="49">
        <f>IF(O221&gt;0,O221*Plan!$D$26/100/12,0)</f>
        <v/>
      </c>
      <c r="Q221" s="48">
        <f>IF(O221&lt;=0,0,MIN(O221+P221,Plan!$E$26))</f>
        <v/>
      </c>
      <c r="R221" s="50">
        <f>MAX(0,O221+P221-Q221)</f>
        <v/>
      </c>
      <c r="S221" s="48">
        <f>V220</f>
        <v/>
      </c>
      <c r="T221" s="49">
        <f>IF(S221&gt;0,S221*Plan!$D$27/100/12,0)</f>
        <v/>
      </c>
      <c r="U221" s="48">
        <f>IF(S221&lt;=0,0,MIN(S221+T221,Plan!$E$27))</f>
        <v/>
      </c>
      <c r="V221" s="50">
        <f>MAX(0,S221+T221-U221)</f>
        <v/>
      </c>
      <c r="W221" s="48">
        <f>Z220</f>
        <v/>
      </c>
      <c r="X221" s="49">
        <f>IF(W221&gt;0,W221*Plan!$D$28/100/12,0)</f>
        <v/>
      </c>
      <c r="Y221" s="48">
        <f>IF(W221&lt;=0,0,MIN(W221+X221,Plan!$E$28))</f>
        <v/>
      </c>
      <c r="Z221" s="50">
        <f>MAX(0,W221+X221-Y221)</f>
        <v/>
      </c>
      <c r="AA221" s="50">
        <f>F221+J221+N221+R221+V221+Z221</f>
        <v/>
      </c>
    </row>
    <row r="222">
      <c r="A222" s="40" t="n">
        <v>215</v>
      </c>
      <c r="B222" s="41">
        <f>EDATE(Plan!$C$18,214)</f>
        <v/>
      </c>
      <c r="C222" s="42">
        <f>F221</f>
        <v/>
      </c>
      <c r="D222" s="43">
        <f>IF(C222&gt;0,C222*Plan!$D$23/100/12,0)</f>
        <v/>
      </c>
      <c r="E222" s="42">
        <f>IF(C222&lt;=0,0,MIN(C222+D222,Plan!$E$23))</f>
        <v/>
      </c>
      <c r="F222" s="44">
        <f>MAX(0,C222+D222-E222)</f>
        <v/>
      </c>
      <c r="G222" s="42">
        <f>J221</f>
        <v/>
      </c>
      <c r="H222" s="43">
        <f>IF(G222&gt;0,G222*Plan!$D$24/100/12,0)</f>
        <v/>
      </c>
      <c r="I222" s="42">
        <f>IF(G222&lt;=0,0,MIN(G222+H222,Plan!$E$24))</f>
        <v/>
      </c>
      <c r="J222" s="44">
        <f>MAX(0,G222+H222-I222)</f>
        <v/>
      </c>
      <c r="K222" s="42">
        <f>N221</f>
        <v/>
      </c>
      <c r="L222" s="43">
        <f>IF(K222&gt;0,K222*Plan!$D$25/100/12,0)</f>
        <v/>
      </c>
      <c r="M222" s="42">
        <f>IF(K222&lt;=0,0,MIN(K222+L222,Plan!$E$25))</f>
        <v/>
      </c>
      <c r="N222" s="44">
        <f>MAX(0,K222+L222-M222)</f>
        <v/>
      </c>
      <c r="O222" s="42">
        <f>R221</f>
        <v/>
      </c>
      <c r="P222" s="43">
        <f>IF(O222&gt;0,O222*Plan!$D$26/100/12,0)</f>
        <v/>
      </c>
      <c r="Q222" s="42">
        <f>IF(O222&lt;=0,0,MIN(O222+P222,Plan!$E$26))</f>
        <v/>
      </c>
      <c r="R222" s="44">
        <f>MAX(0,O222+P222-Q222)</f>
        <v/>
      </c>
      <c r="S222" s="42">
        <f>V221</f>
        <v/>
      </c>
      <c r="T222" s="43">
        <f>IF(S222&gt;0,S222*Plan!$D$27/100/12,0)</f>
        <v/>
      </c>
      <c r="U222" s="42">
        <f>IF(S222&lt;=0,0,MIN(S222+T222,Plan!$E$27))</f>
        <v/>
      </c>
      <c r="V222" s="44">
        <f>MAX(0,S222+T222-U222)</f>
        <v/>
      </c>
      <c r="W222" s="42">
        <f>Z221</f>
        <v/>
      </c>
      <c r="X222" s="43">
        <f>IF(W222&gt;0,W222*Plan!$D$28/100/12,0)</f>
        <v/>
      </c>
      <c r="Y222" s="42">
        <f>IF(W222&lt;=0,0,MIN(W222+X222,Plan!$E$28))</f>
        <v/>
      </c>
      <c r="Z222" s="44">
        <f>MAX(0,W222+X222-Y222)</f>
        <v/>
      </c>
      <c r="AA222" s="44">
        <f>F222+J222+N222+R222+V222+Z222</f>
        <v/>
      </c>
    </row>
    <row r="223">
      <c r="A223" s="46" t="n">
        <v>216</v>
      </c>
      <c r="B223" s="47">
        <f>EDATE(Plan!$C$18,215)</f>
        <v/>
      </c>
      <c r="C223" s="48">
        <f>F222</f>
        <v/>
      </c>
      <c r="D223" s="49">
        <f>IF(C223&gt;0,C223*Plan!$D$23/100/12,0)</f>
        <v/>
      </c>
      <c r="E223" s="48">
        <f>IF(C223&lt;=0,0,MIN(C223+D223,Plan!$E$23))</f>
        <v/>
      </c>
      <c r="F223" s="50">
        <f>MAX(0,C223+D223-E223)</f>
        <v/>
      </c>
      <c r="G223" s="48">
        <f>J222</f>
        <v/>
      </c>
      <c r="H223" s="49">
        <f>IF(G223&gt;0,G223*Plan!$D$24/100/12,0)</f>
        <v/>
      </c>
      <c r="I223" s="48">
        <f>IF(G223&lt;=0,0,MIN(G223+H223,Plan!$E$24))</f>
        <v/>
      </c>
      <c r="J223" s="50">
        <f>MAX(0,G223+H223-I223)</f>
        <v/>
      </c>
      <c r="K223" s="48">
        <f>N222</f>
        <v/>
      </c>
      <c r="L223" s="49">
        <f>IF(K223&gt;0,K223*Plan!$D$25/100/12,0)</f>
        <v/>
      </c>
      <c r="M223" s="48">
        <f>IF(K223&lt;=0,0,MIN(K223+L223,Plan!$E$25))</f>
        <v/>
      </c>
      <c r="N223" s="50">
        <f>MAX(0,K223+L223-M223)</f>
        <v/>
      </c>
      <c r="O223" s="48">
        <f>R222</f>
        <v/>
      </c>
      <c r="P223" s="49">
        <f>IF(O223&gt;0,O223*Plan!$D$26/100/12,0)</f>
        <v/>
      </c>
      <c r="Q223" s="48">
        <f>IF(O223&lt;=0,0,MIN(O223+P223,Plan!$E$26))</f>
        <v/>
      </c>
      <c r="R223" s="50">
        <f>MAX(0,O223+P223-Q223)</f>
        <v/>
      </c>
      <c r="S223" s="48">
        <f>V222</f>
        <v/>
      </c>
      <c r="T223" s="49">
        <f>IF(S223&gt;0,S223*Plan!$D$27/100/12,0)</f>
        <v/>
      </c>
      <c r="U223" s="48">
        <f>IF(S223&lt;=0,0,MIN(S223+T223,Plan!$E$27))</f>
        <v/>
      </c>
      <c r="V223" s="50">
        <f>MAX(0,S223+T223-U223)</f>
        <v/>
      </c>
      <c r="W223" s="48">
        <f>Z222</f>
        <v/>
      </c>
      <c r="X223" s="49">
        <f>IF(W223&gt;0,W223*Plan!$D$28/100/12,0)</f>
        <v/>
      </c>
      <c r="Y223" s="48">
        <f>IF(W223&lt;=0,0,MIN(W223+X223,Plan!$E$28))</f>
        <v/>
      </c>
      <c r="Z223" s="50">
        <f>MAX(0,W223+X223-Y223)</f>
        <v/>
      </c>
      <c r="AA223" s="50">
        <f>F223+J223+N223+R223+V223+Z223</f>
        <v/>
      </c>
    </row>
    <row r="224">
      <c r="A224" s="40" t="n">
        <v>217</v>
      </c>
      <c r="B224" s="41">
        <f>EDATE(Plan!$C$18,216)</f>
        <v/>
      </c>
      <c r="C224" s="42">
        <f>F223</f>
        <v/>
      </c>
      <c r="D224" s="43">
        <f>IF(C224&gt;0,C224*Plan!$D$23/100/12,0)</f>
        <v/>
      </c>
      <c r="E224" s="42">
        <f>IF(C224&lt;=0,0,MIN(C224+D224,Plan!$E$23))</f>
        <v/>
      </c>
      <c r="F224" s="44">
        <f>MAX(0,C224+D224-E224)</f>
        <v/>
      </c>
      <c r="G224" s="42">
        <f>J223</f>
        <v/>
      </c>
      <c r="H224" s="43">
        <f>IF(G224&gt;0,G224*Plan!$D$24/100/12,0)</f>
        <v/>
      </c>
      <c r="I224" s="42">
        <f>IF(G224&lt;=0,0,MIN(G224+H224,Plan!$E$24))</f>
        <v/>
      </c>
      <c r="J224" s="44">
        <f>MAX(0,G224+H224-I224)</f>
        <v/>
      </c>
      <c r="K224" s="42">
        <f>N223</f>
        <v/>
      </c>
      <c r="L224" s="43">
        <f>IF(K224&gt;0,K224*Plan!$D$25/100/12,0)</f>
        <v/>
      </c>
      <c r="M224" s="42">
        <f>IF(K224&lt;=0,0,MIN(K224+L224,Plan!$E$25))</f>
        <v/>
      </c>
      <c r="N224" s="44">
        <f>MAX(0,K224+L224-M224)</f>
        <v/>
      </c>
      <c r="O224" s="42">
        <f>R223</f>
        <v/>
      </c>
      <c r="P224" s="43">
        <f>IF(O224&gt;0,O224*Plan!$D$26/100/12,0)</f>
        <v/>
      </c>
      <c r="Q224" s="42">
        <f>IF(O224&lt;=0,0,MIN(O224+P224,Plan!$E$26))</f>
        <v/>
      </c>
      <c r="R224" s="44">
        <f>MAX(0,O224+P224-Q224)</f>
        <v/>
      </c>
      <c r="S224" s="42">
        <f>V223</f>
        <v/>
      </c>
      <c r="T224" s="43">
        <f>IF(S224&gt;0,S224*Plan!$D$27/100/12,0)</f>
        <v/>
      </c>
      <c r="U224" s="42">
        <f>IF(S224&lt;=0,0,MIN(S224+T224,Plan!$E$27))</f>
        <v/>
      </c>
      <c r="V224" s="44">
        <f>MAX(0,S224+T224-U224)</f>
        <v/>
      </c>
      <c r="W224" s="42">
        <f>Z223</f>
        <v/>
      </c>
      <c r="X224" s="43">
        <f>IF(W224&gt;0,W224*Plan!$D$28/100/12,0)</f>
        <v/>
      </c>
      <c r="Y224" s="42">
        <f>IF(W224&lt;=0,0,MIN(W224+X224,Plan!$E$28))</f>
        <v/>
      </c>
      <c r="Z224" s="44">
        <f>MAX(0,W224+X224-Y224)</f>
        <v/>
      </c>
      <c r="AA224" s="44">
        <f>F224+J224+N224+R224+V224+Z224</f>
        <v/>
      </c>
    </row>
    <row r="225">
      <c r="A225" s="46" t="n">
        <v>218</v>
      </c>
      <c r="B225" s="47">
        <f>EDATE(Plan!$C$18,217)</f>
        <v/>
      </c>
      <c r="C225" s="48">
        <f>F224</f>
        <v/>
      </c>
      <c r="D225" s="49">
        <f>IF(C225&gt;0,C225*Plan!$D$23/100/12,0)</f>
        <v/>
      </c>
      <c r="E225" s="48">
        <f>IF(C225&lt;=0,0,MIN(C225+D225,Plan!$E$23))</f>
        <v/>
      </c>
      <c r="F225" s="50">
        <f>MAX(0,C225+D225-E225)</f>
        <v/>
      </c>
      <c r="G225" s="48">
        <f>J224</f>
        <v/>
      </c>
      <c r="H225" s="49">
        <f>IF(G225&gt;0,G225*Plan!$D$24/100/12,0)</f>
        <v/>
      </c>
      <c r="I225" s="48">
        <f>IF(G225&lt;=0,0,MIN(G225+H225,Plan!$E$24))</f>
        <v/>
      </c>
      <c r="J225" s="50">
        <f>MAX(0,G225+H225-I225)</f>
        <v/>
      </c>
      <c r="K225" s="48">
        <f>N224</f>
        <v/>
      </c>
      <c r="L225" s="49">
        <f>IF(K225&gt;0,K225*Plan!$D$25/100/12,0)</f>
        <v/>
      </c>
      <c r="M225" s="48">
        <f>IF(K225&lt;=0,0,MIN(K225+L225,Plan!$E$25))</f>
        <v/>
      </c>
      <c r="N225" s="50">
        <f>MAX(0,K225+L225-M225)</f>
        <v/>
      </c>
      <c r="O225" s="48">
        <f>R224</f>
        <v/>
      </c>
      <c r="P225" s="49">
        <f>IF(O225&gt;0,O225*Plan!$D$26/100/12,0)</f>
        <v/>
      </c>
      <c r="Q225" s="48">
        <f>IF(O225&lt;=0,0,MIN(O225+P225,Plan!$E$26))</f>
        <v/>
      </c>
      <c r="R225" s="50">
        <f>MAX(0,O225+P225-Q225)</f>
        <v/>
      </c>
      <c r="S225" s="48">
        <f>V224</f>
        <v/>
      </c>
      <c r="T225" s="49">
        <f>IF(S225&gt;0,S225*Plan!$D$27/100/12,0)</f>
        <v/>
      </c>
      <c r="U225" s="48">
        <f>IF(S225&lt;=0,0,MIN(S225+T225,Plan!$E$27))</f>
        <v/>
      </c>
      <c r="V225" s="50">
        <f>MAX(0,S225+T225-U225)</f>
        <v/>
      </c>
      <c r="W225" s="48">
        <f>Z224</f>
        <v/>
      </c>
      <c r="X225" s="49">
        <f>IF(W225&gt;0,W225*Plan!$D$28/100/12,0)</f>
        <v/>
      </c>
      <c r="Y225" s="48">
        <f>IF(W225&lt;=0,0,MIN(W225+X225,Plan!$E$28))</f>
        <v/>
      </c>
      <c r="Z225" s="50">
        <f>MAX(0,W225+X225-Y225)</f>
        <v/>
      </c>
      <c r="AA225" s="50">
        <f>F225+J225+N225+R225+V225+Z225</f>
        <v/>
      </c>
    </row>
    <row r="226">
      <c r="A226" s="40" t="n">
        <v>219</v>
      </c>
      <c r="B226" s="41">
        <f>EDATE(Plan!$C$18,218)</f>
        <v/>
      </c>
      <c r="C226" s="42">
        <f>F225</f>
        <v/>
      </c>
      <c r="D226" s="43">
        <f>IF(C226&gt;0,C226*Plan!$D$23/100/12,0)</f>
        <v/>
      </c>
      <c r="E226" s="42">
        <f>IF(C226&lt;=0,0,MIN(C226+D226,Plan!$E$23))</f>
        <v/>
      </c>
      <c r="F226" s="44">
        <f>MAX(0,C226+D226-E226)</f>
        <v/>
      </c>
      <c r="G226" s="42">
        <f>J225</f>
        <v/>
      </c>
      <c r="H226" s="43">
        <f>IF(G226&gt;0,G226*Plan!$D$24/100/12,0)</f>
        <v/>
      </c>
      <c r="I226" s="42">
        <f>IF(G226&lt;=0,0,MIN(G226+H226,Plan!$E$24))</f>
        <v/>
      </c>
      <c r="J226" s="44">
        <f>MAX(0,G226+H226-I226)</f>
        <v/>
      </c>
      <c r="K226" s="42">
        <f>N225</f>
        <v/>
      </c>
      <c r="L226" s="43">
        <f>IF(K226&gt;0,K226*Plan!$D$25/100/12,0)</f>
        <v/>
      </c>
      <c r="M226" s="42">
        <f>IF(K226&lt;=0,0,MIN(K226+L226,Plan!$E$25))</f>
        <v/>
      </c>
      <c r="N226" s="44">
        <f>MAX(0,K226+L226-M226)</f>
        <v/>
      </c>
      <c r="O226" s="42">
        <f>R225</f>
        <v/>
      </c>
      <c r="P226" s="43">
        <f>IF(O226&gt;0,O226*Plan!$D$26/100/12,0)</f>
        <v/>
      </c>
      <c r="Q226" s="42">
        <f>IF(O226&lt;=0,0,MIN(O226+P226,Plan!$E$26))</f>
        <v/>
      </c>
      <c r="R226" s="44">
        <f>MAX(0,O226+P226-Q226)</f>
        <v/>
      </c>
      <c r="S226" s="42">
        <f>V225</f>
        <v/>
      </c>
      <c r="T226" s="43">
        <f>IF(S226&gt;0,S226*Plan!$D$27/100/12,0)</f>
        <v/>
      </c>
      <c r="U226" s="42">
        <f>IF(S226&lt;=0,0,MIN(S226+T226,Plan!$E$27))</f>
        <v/>
      </c>
      <c r="V226" s="44">
        <f>MAX(0,S226+T226-U226)</f>
        <v/>
      </c>
      <c r="W226" s="42">
        <f>Z225</f>
        <v/>
      </c>
      <c r="X226" s="43">
        <f>IF(W226&gt;0,W226*Plan!$D$28/100/12,0)</f>
        <v/>
      </c>
      <c r="Y226" s="42">
        <f>IF(W226&lt;=0,0,MIN(W226+X226,Plan!$E$28))</f>
        <v/>
      </c>
      <c r="Z226" s="44">
        <f>MAX(0,W226+X226-Y226)</f>
        <v/>
      </c>
      <c r="AA226" s="44">
        <f>F226+J226+N226+R226+V226+Z226</f>
        <v/>
      </c>
    </row>
    <row r="227">
      <c r="A227" s="46" t="n">
        <v>220</v>
      </c>
      <c r="B227" s="47">
        <f>EDATE(Plan!$C$18,219)</f>
        <v/>
      </c>
      <c r="C227" s="48">
        <f>F226</f>
        <v/>
      </c>
      <c r="D227" s="49">
        <f>IF(C227&gt;0,C227*Plan!$D$23/100/12,0)</f>
        <v/>
      </c>
      <c r="E227" s="48">
        <f>IF(C227&lt;=0,0,MIN(C227+D227,Plan!$E$23))</f>
        <v/>
      </c>
      <c r="F227" s="50">
        <f>MAX(0,C227+D227-E227)</f>
        <v/>
      </c>
      <c r="G227" s="48">
        <f>J226</f>
        <v/>
      </c>
      <c r="H227" s="49">
        <f>IF(G227&gt;0,G227*Plan!$D$24/100/12,0)</f>
        <v/>
      </c>
      <c r="I227" s="48">
        <f>IF(G227&lt;=0,0,MIN(G227+H227,Plan!$E$24))</f>
        <v/>
      </c>
      <c r="J227" s="50">
        <f>MAX(0,G227+H227-I227)</f>
        <v/>
      </c>
      <c r="K227" s="48">
        <f>N226</f>
        <v/>
      </c>
      <c r="L227" s="49">
        <f>IF(K227&gt;0,K227*Plan!$D$25/100/12,0)</f>
        <v/>
      </c>
      <c r="M227" s="48">
        <f>IF(K227&lt;=0,0,MIN(K227+L227,Plan!$E$25))</f>
        <v/>
      </c>
      <c r="N227" s="50">
        <f>MAX(0,K227+L227-M227)</f>
        <v/>
      </c>
      <c r="O227" s="48">
        <f>R226</f>
        <v/>
      </c>
      <c r="P227" s="49">
        <f>IF(O227&gt;0,O227*Plan!$D$26/100/12,0)</f>
        <v/>
      </c>
      <c r="Q227" s="48">
        <f>IF(O227&lt;=0,0,MIN(O227+P227,Plan!$E$26))</f>
        <v/>
      </c>
      <c r="R227" s="50">
        <f>MAX(0,O227+P227-Q227)</f>
        <v/>
      </c>
      <c r="S227" s="48">
        <f>V226</f>
        <v/>
      </c>
      <c r="T227" s="49">
        <f>IF(S227&gt;0,S227*Plan!$D$27/100/12,0)</f>
        <v/>
      </c>
      <c r="U227" s="48">
        <f>IF(S227&lt;=0,0,MIN(S227+T227,Plan!$E$27))</f>
        <v/>
      </c>
      <c r="V227" s="50">
        <f>MAX(0,S227+T227-U227)</f>
        <v/>
      </c>
      <c r="W227" s="48">
        <f>Z226</f>
        <v/>
      </c>
      <c r="X227" s="49">
        <f>IF(W227&gt;0,W227*Plan!$D$28/100/12,0)</f>
        <v/>
      </c>
      <c r="Y227" s="48">
        <f>IF(W227&lt;=0,0,MIN(W227+X227,Plan!$E$28))</f>
        <v/>
      </c>
      <c r="Z227" s="50">
        <f>MAX(0,W227+X227-Y227)</f>
        <v/>
      </c>
      <c r="AA227" s="50">
        <f>F227+J227+N227+R227+V227+Z227</f>
        <v/>
      </c>
    </row>
    <row r="228">
      <c r="A228" s="40" t="n">
        <v>221</v>
      </c>
      <c r="B228" s="41">
        <f>EDATE(Plan!$C$18,220)</f>
        <v/>
      </c>
      <c r="C228" s="42">
        <f>F227</f>
        <v/>
      </c>
      <c r="D228" s="43">
        <f>IF(C228&gt;0,C228*Plan!$D$23/100/12,0)</f>
        <v/>
      </c>
      <c r="E228" s="42">
        <f>IF(C228&lt;=0,0,MIN(C228+D228,Plan!$E$23))</f>
        <v/>
      </c>
      <c r="F228" s="44">
        <f>MAX(0,C228+D228-E228)</f>
        <v/>
      </c>
      <c r="G228" s="42">
        <f>J227</f>
        <v/>
      </c>
      <c r="H228" s="43">
        <f>IF(G228&gt;0,G228*Plan!$D$24/100/12,0)</f>
        <v/>
      </c>
      <c r="I228" s="42">
        <f>IF(G228&lt;=0,0,MIN(G228+H228,Plan!$E$24))</f>
        <v/>
      </c>
      <c r="J228" s="44">
        <f>MAX(0,G228+H228-I228)</f>
        <v/>
      </c>
      <c r="K228" s="42">
        <f>N227</f>
        <v/>
      </c>
      <c r="L228" s="43">
        <f>IF(K228&gt;0,K228*Plan!$D$25/100/12,0)</f>
        <v/>
      </c>
      <c r="M228" s="42">
        <f>IF(K228&lt;=0,0,MIN(K228+L228,Plan!$E$25))</f>
        <v/>
      </c>
      <c r="N228" s="44">
        <f>MAX(0,K228+L228-M228)</f>
        <v/>
      </c>
      <c r="O228" s="42">
        <f>R227</f>
        <v/>
      </c>
      <c r="P228" s="43">
        <f>IF(O228&gt;0,O228*Plan!$D$26/100/12,0)</f>
        <v/>
      </c>
      <c r="Q228" s="42">
        <f>IF(O228&lt;=0,0,MIN(O228+P228,Plan!$E$26))</f>
        <v/>
      </c>
      <c r="R228" s="44">
        <f>MAX(0,O228+P228-Q228)</f>
        <v/>
      </c>
      <c r="S228" s="42">
        <f>V227</f>
        <v/>
      </c>
      <c r="T228" s="43">
        <f>IF(S228&gt;0,S228*Plan!$D$27/100/12,0)</f>
        <v/>
      </c>
      <c r="U228" s="42">
        <f>IF(S228&lt;=0,0,MIN(S228+T228,Plan!$E$27))</f>
        <v/>
      </c>
      <c r="V228" s="44">
        <f>MAX(0,S228+T228-U228)</f>
        <v/>
      </c>
      <c r="W228" s="42">
        <f>Z227</f>
        <v/>
      </c>
      <c r="X228" s="43">
        <f>IF(W228&gt;0,W228*Plan!$D$28/100/12,0)</f>
        <v/>
      </c>
      <c r="Y228" s="42">
        <f>IF(W228&lt;=0,0,MIN(W228+X228,Plan!$E$28))</f>
        <v/>
      </c>
      <c r="Z228" s="44">
        <f>MAX(0,W228+X228-Y228)</f>
        <v/>
      </c>
      <c r="AA228" s="44">
        <f>F228+J228+N228+R228+V228+Z228</f>
        <v/>
      </c>
    </row>
    <row r="229">
      <c r="A229" s="46" t="n">
        <v>222</v>
      </c>
      <c r="B229" s="47">
        <f>EDATE(Plan!$C$18,221)</f>
        <v/>
      </c>
      <c r="C229" s="48">
        <f>F228</f>
        <v/>
      </c>
      <c r="D229" s="49">
        <f>IF(C229&gt;0,C229*Plan!$D$23/100/12,0)</f>
        <v/>
      </c>
      <c r="E229" s="48">
        <f>IF(C229&lt;=0,0,MIN(C229+D229,Plan!$E$23))</f>
        <v/>
      </c>
      <c r="F229" s="50">
        <f>MAX(0,C229+D229-E229)</f>
        <v/>
      </c>
      <c r="G229" s="48">
        <f>J228</f>
        <v/>
      </c>
      <c r="H229" s="49">
        <f>IF(G229&gt;0,G229*Plan!$D$24/100/12,0)</f>
        <v/>
      </c>
      <c r="I229" s="48">
        <f>IF(G229&lt;=0,0,MIN(G229+H229,Plan!$E$24))</f>
        <v/>
      </c>
      <c r="J229" s="50">
        <f>MAX(0,G229+H229-I229)</f>
        <v/>
      </c>
      <c r="K229" s="48">
        <f>N228</f>
        <v/>
      </c>
      <c r="L229" s="49">
        <f>IF(K229&gt;0,K229*Plan!$D$25/100/12,0)</f>
        <v/>
      </c>
      <c r="M229" s="48">
        <f>IF(K229&lt;=0,0,MIN(K229+L229,Plan!$E$25))</f>
        <v/>
      </c>
      <c r="N229" s="50">
        <f>MAX(0,K229+L229-M229)</f>
        <v/>
      </c>
      <c r="O229" s="48">
        <f>R228</f>
        <v/>
      </c>
      <c r="P229" s="49">
        <f>IF(O229&gt;0,O229*Plan!$D$26/100/12,0)</f>
        <v/>
      </c>
      <c r="Q229" s="48">
        <f>IF(O229&lt;=0,0,MIN(O229+P229,Plan!$E$26))</f>
        <v/>
      </c>
      <c r="R229" s="50">
        <f>MAX(0,O229+P229-Q229)</f>
        <v/>
      </c>
      <c r="S229" s="48">
        <f>V228</f>
        <v/>
      </c>
      <c r="T229" s="49">
        <f>IF(S229&gt;0,S229*Plan!$D$27/100/12,0)</f>
        <v/>
      </c>
      <c r="U229" s="48">
        <f>IF(S229&lt;=0,0,MIN(S229+T229,Plan!$E$27))</f>
        <v/>
      </c>
      <c r="V229" s="50">
        <f>MAX(0,S229+T229-U229)</f>
        <v/>
      </c>
      <c r="W229" s="48">
        <f>Z228</f>
        <v/>
      </c>
      <c r="X229" s="49">
        <f>IF(W229&gt;0,W229*Plan!$D$28/100/12,0)</f>
        <v/>
      </c>
      <c r="Y229" s="48">
        <f>IF(W229&lt;=0,0,MIN(W229+X229,Plan!$E$28))</f>
        <v/>
      </c>
      <c r="Z229" s="50">
        <f>MAX(0,W229+X229-Y229)</f>
        <v/>
      </c>
      <c r="AA229" s="50">
        <f>F229+J229+N229+R229+V229+Z229</f>
        <v/>
      </c>
    </row>
    <row r="230">
      <c r="A230" s="40" t="n">
        <v>223</v>
      </c>
      <c r="B230" s="41">
        <f>EDATE(Plan!$C$18,222)</f>
        <v/>
      </c>
      <c r="C230" s="42">
        <f>F229</f>
        <v/>
      </c>
      <c r="D230" s="43">
        <f>IF(C230&gt;0,C230*Plan!$D$23/100/12,0)</f>
        <v/>
      </c>
      <c r="E230" s="42">
        <f>IF(C230&lt;=0,0,MIN(C230+D230,Plan!$E$23))</f>
        <v/>
      </c>
      <c r="F230" s="44">
        <f>MAX(0,C230+D230-E230)</f>
        <v/>
      </c>
      <c r="G230" s="42">
        <f>J229</f>
        <v/>
      </c>
      <c r="H230" s="43">
        <f>IF(G230&gt;0,G230*Plan!$D$24/100/12,0)</f>
        <v/>
      </c>
      <c r="I230" s="42">
        <f>IF(G230&lt;=0,0,MIN(G230+H230,Plan!$E$24))</f>
        <v/>
      </c>
      <c r="J230" s="44">
        <f>MAX(0,G230+H230-I230)</f>
        <v/>
      </c>
      <c r="K230" s="42">
        <f>N229</f>
        <v/>
      </c>
      <c r="L230" s="43">
        <f>IF(K230&gt;0,K230*Plan!$D$25/100/12,0)</f>
        <v/>
      </c>
      <c r="M230" s="42">
        <f>IF(K230&lt;=0,0,MIN(K230+L230,Plan!$E$25))</f>
        <v/>
      </c>
      <c r="N230" s="44">
        <f>MAX(0,K230+L230-M230)</f>
        <v/>
      </c>
      <c r="O230" s="42">
        <f>R229</f>
        <v/>
      </c>
      <c r="P230" s="43">
        <f>IF(O230&gt;0,O230*Plan!$D$26/100/12,0)</f>
        <v/>
      </c>
      <c r="Q230" s="42">
        <f>IF(O230&lt;=0,0,MIN(O230+P230,Plan!$E$26))</f>
        <v/>
      </c>
      <c r="R230" s="44">
        <f>MAX(0,O230+P230-Q230)</f>
        <v/>
      </c>
      <c r="S230" s="42">
        <f>V229</f>
        <v/>
      </c>
      <c r="T230" s="43">
        <f>IF(S230&gt;0,S230*Plan!$D$27/100/12,0)</f>
        <v/>
      </c>
      <c r="U230" s="42">
        <f>IF(S230&lt;=0,0,MIN(S230+T230,Plan!$E$27))</f>
        <v/>
      </c>
      <c r="V230" s="44">
        <f>MAX(0,S230+T230-U230)</f>
        <v/>
      </c>
      <c r="W230" s="42">
        <f>Z229</f>
        <v/>
      </c>
      <c r="X230" s="43">
        <f>IF(W230&gt;0,W230*Plan!$D$28/100/12,0)</f>
        <v/>
      </c>
      <c r="Y230" s="42">
        <f>IF(W230&lt;=0,0,MIN(W230+X230,Plan!$E$28))</f>
        <v/>
      </c>
      <c r="Z230" s="44">
        <f>MAX(0,W230+X230-Y230)</f>
        <v/>
      </c>
      <c r="AA230" s="44">
        <f>F230+J230+N230+R230+V230+Z230</f>
        <v/>
      </c>
    </row>
    <row r="231">
      <c r="A231" s="46" t="n">
        <v>224</v>
      </c>
      <c r="B231" s="47">
        <f>EDATE(Plan!$C$18,223)</f>
        <v/>
      </c>
      <c r="C231" s="48">
        <f>F230</f>
        <v/>
      </c>
      <c r="D231" s="49">
        <f>IF(C231&gt;0,C231*Plan!$D$23/100/12,0)</f>
        <v/>
      </c>
      <c r="E231" s="48">
        <f>IF(C231&lt;=0,0,MIN(C231+D231,Plan!$E$23))</f>
        <v/>
      </c>
      <c r="F231" s="50">
        <f>MAX(0,C231+D231-E231)</f>
        <v/>
      </c>
      <c r="G231" s="48">
        <f>J230</f>
        <v/>
      </c>
      <c r="H231" s="49">
        <f>IF(G231&gt;0,G231*Plan!$D$24/100/12,0)</f>
        <v/>
      </c>
      <c r="I231" s="48">
        <f>IF(G231&lt;=0,0,MIN(G231+H231,Plan!$E$24))</f>
        <v/>
      </c>
      <c r="J231" s="50">
        <f>MAX(0,G231+H231-I231)</f>
        <v/>
      </c>
      <c r="K231" s="48">
        <f>N230</f>
        <v/>
      </c>
      <c r="L231" s="49">
        <f>IF(K231&gt;0,K231*Plan!$D$25/100/12,0)</f>
        <v/>
      </c>
      <c r="M231" s="48">
        <f>IF(K231&lt;=0,0,MIN(K231+L231,Plan!$E$25))</f>
        <v/>
      </c>
      <c r="N231" s="50">
        <f>MAX(0,K231+L231-M231)</f>
        <v/>
      </c>
      <c r="O231" s="48">
        <f>R230</f>
        <v/>
      </c>
      <c r="P231" s="49">
        <f>IF(O231&gt;0,O231*Plan!$D$26/100/12,0)</f>
        <v/>
      </c>
      <c r="Q231" s="48">
        <f>IF(O231&lt;=0,0,MIN(O231+P231,Plan!$E$26))</f>
        <v/>
      </c>
      <c r="R231" s="50">
        <f>MAX(0,O231+P231-Q231)</f>
        <v/>
      </c>
      <c r="S231" s="48">
        <f>V230</f>
        <v/>
      </c>
      <c r="T231" s="49">
        <f>IF(S231&gt;0,S231*Plan!$D$27/100/12,0)</f>
        <v/>
      </c>
      <c r="U231" s="48">
        <f>IF(S231&lt;=0,0,MIN(S231+T231,Plan!$E$27))</f>
        <v/>
      </c>
      <c r="V231" s="50">
        <f>MAX(0,S231+T231-U231)</f>
        <v/>
      </c>
      <c r="W231" s="48">
        <f>Z230</f>
        <v/>
      </c>
      <c r="X231" s="49">
        <f>IF(W231&gt;0,W231*Plan!$D$28/100/12,0)</f>
        <v/>
      </c>
      <c r="Y231" s="48">
        <f>IF(W231&lt;=0,0,MIN(W231+X231,Plan!$E$28))</f>
        <v/>
      </c>
      <c r="Z231" s="50">
        <f>MAX(0,W231+X231-Y231)</f>
        <v/>
      </c>
      <c r="AA231" s="50">
        <f>F231+J231+N231+R231+V231+Z231</f>
        <v/>
      </c>
    </row>
    <row r="232">
      <c r="A232" s="40" t="n">
        <v>225</v>
      </c>
      <c r="B232" s="41">
        <f>EDATE(Plan!$C$18,224)</f>
        <v/>
      </c>
      <c r="C232" s="42">
        <f>F231</f>
        <v/>
      </c>
      <c r="D232" s="43">
        <f>IF(C232&gt;0,C232*Plan!$D$23/100/12,0)</f>
        <v/>
      </c>
      <c r="E232" s="42">
        <f>IF(C232&lt;=0,0,MIN(C232+D232,Plan!$E$23))</f>
        <v/>
      </c>
      <c r="F232" s="44">
        <f>MAX(0,C232+D232-E232)</f>
        <v/>
      </c>
      <c r="G232" s="42">
        <f>J231</f>
        <v/>
      </c>
      <c r="H232" s="43">
        <f>IF(G232&gt;0,G232*Plan!$D$24/100/12,0)</f>
        <v/>
      </c>
      <c r="I232" s="42">
        <f>IF(G232&lt;=0,0,MIN(G232+H232,Plan!$E$24))</f>
        <v/>
      </c>
      <c r="J232" s="44">
        <f>MAX(0,G232+H232-I232)</f>
        <v/>
      </c>
      <c r="K232" s="42">
        <f>N231</f>
        <v/>
      </c>
      <c r="L232" s="43">
        <f>IF(K232&gt;0,K232*Plan!$D$25/100/12,0)</f>
        <v/>
      </c>
      <c r="M232" s="42">
        <f>IF(K232&lt;=0,0,MIN(K232+L232,Plan!$E$25))</f>
        <v/>
      </c>
      <c r="N232" s="44">
        <f>MAX(0,K232+L232-M232)</f>
        <v/>
      </c>
      <c r="O232" s="42">
        <f>R231</f>
        <v/>
      </c>
      <c r="P232" s="43">
        <f>IF(O232&gt;0,O232*Plan!$D$26/100/12,0)</f>
        <v/>
      </c>
      <c r="Q232" s="42">
        <f>IF(O232&lt;=0,0,MIN(O232+P232,Plan!$E$26))</f>
        <v/>
      </c>
      <c r="R232" s="44">
        <f>MAX(0,O232+P232-Q232)</f>
        <v/>
      </c>
      <c r="S232" s="42">
        <f>V231</f>
        <v/>
      </c>
      <c r="T232" s="43">
        <f>IF(S232&gt;0,S232*Plan!$D$27/100/12,0)</f>
        <v/>
      </c>
      <c r="U232" s="42">
        <f>IF(S232&lt;=0,0,MIN(S232+T232,Plan!$E$27))</f>
        <v/>
      </c>
      <c r="V232" s="44">
        <f>MAX(0,S232+T232-U232)</f>
        <v/>
      </c>
      <c r="W232" s="42">
        <f>Z231</f>
        <v/>
      </c>
      <c r="X232" s="43">
        <f>IF(W232&gt;0,W232*Plan!$D$28/100/12,0)</f>
        <v/>
      </c>
      <c r="Y232" s="42">
        <f>IF(W232&lt;=0,0,MIN(W232+X232,Plan!$E$28))</f>
        <v/>
      </c>
      <c r="Z232" s="44">
        <f>MAX(0,W232+X232-Y232)</f>
        <v/>
      </c>
      <c r="AA232" s="44">
        <f>F232+J232+N232+R232+V232+Z232</f>
        <v/>
      </c>
    </row>
    <row r="233">
      <c r="A233" s="46" t="n">
        <v>226</v>
      </c>
      <c r="B233" s="47">
        <f>EDATE(Plan!$C$18,225)</f>
        <v/>
      </c>
      <c r="C233" s="48">
        <f>F232</f>
        <v/>
      </c>
      <c r="D233" s="49">
        <f>IF(C233&gt;0,C233*Plan!$D$23/100/12,0)</f>
        <v/>
      </c>
      <c r="E233" s="48">
        <f>IF(C233&lt;=0,0,MIN(C233+D233,Plan!$E$23))</f>
        <v/>
      </c>
      <c r="F233" s="50">
        <f>MAX(0,C233+D233-E233)</f>
        <v/>
      </c>
      <c r="G233" s="48">
        <f>J232</f>
        <v/>
      </c>
      <c r="H233" s="49">
        <f>IF(G233&gt;0,G233*Plan!$D$24/100/12,0)</f>
        <v/>
      </c>
      <c r="I233" s="48">
        <f>IF(G233&lt;=0,0,MIN(G233+H233,Plan!$E$24))</f>
        <v/>
      </c>
      <c r="J233" s="50">
        <f>MAX(0,G233+H233-I233)</f>
        <v/>
      </c>
      <c r="K233" s="48">
        <f>N232</f>
        <v/>
      </c>
      <c r="L233" s="49">
        <f>IF(K233&gt;0,K233*Plan!$D$25/100/12,0)</f>
        <v/>
      </c>
      <c r="M233" s="48">
        <f>IF(K233&lt;=0,0,MIN(K233+L233,Plan!$E$25))</f>
        <v/>
      </c>
      <c r="N233" s="50">
        <f>MAX(0,K233+L233-M233)</f>
        <v/>
      </c>
      <c r="O233" s="48">
        <f>R232</f>
        <v/>
      </c>
      <c r="P233" s="49">
        <f>IF(O233&gt;0,O233*Plan!$D$26/100/12,0)</f>
        <v/>
      </c>
      <c r="Q233" s="48">
        <f>IF(O233&lt;=0,0,MIN(O233+P233,Plan!$E$26))</f>
        <v/>
      </c>
      <c r="R233" s="50">
        <f>MAX(0,O233+P233-Q233)</f>
        <v/>
      </c>
      <c r="S233" s="48">
        <f>V232</f>
        <v/>
      </c>
      <c r="T233" s="49">
        <f>IF(S233&gt;0,S233*Plan!$D$27/100/12,0)</f>
        <v/>
      </c>
      <c r="U233" s="48">
        <f>IF(S233&lt;=0,0,MIN(S233+T233,Plan!$E$27))</f>
        <v/>
      </c>
      <c r="V233" s="50">
        <f>MAX(0,S233+T233-U233)</f>
        <v/>
      </c>
      <c r="W233" s="48">
        <f>Z232</f>
        <v/>
      </c>
      <c r="X233" s="49">
        <f>IF(W233&gt;0,W233*Plan!$D$28/100/12,0)</f>
        <v/>
      </c>
      <c r="Y233" s="48">
        <f>IF(W233&lt;=0,0,MIN(W233+X233,Plan!$E$28))</f>
        <v/>
      </c>
      <c r="Z233" s="50">
        <f>MAX(0,W233+X233-Y233)</f>
        <v/>
      </c>
      <c r="AA233" s="50">
        <f>F233+J233+N233+R233+V233+Z233</f>
        <v/>
      </c>
    </row>
    <row r="234">
      <c r="A234" s="40" t="n">
        <v>227</v>
      </c>
      <c r="B234" s="41">
        <f>EDATE(Plan!$C$18,226)</f>
        <v/>
      </c>
      <c r="C234" s="42">
        <f>F233</f>
        <v/>
      </c>
      <c r="D234" s="43">
        <f>IF(C234&gt;0,C234*Plan!$D$23/100/12,0)</f>
        <v/>
      </c>
      <c r="E234" s="42">
        <f>IF(C234&lt;=0,0,MIN(C234+D234,Plan!$E$23))</f>
        <v/>
      </c>
      <c r="F234" s="44">
        <f>MAX(0,C234+D234-E234)</f>
        <v/>
      </c>
      <c r="G234" s="42">
        <f>J233</f>
        <v/>
      </c>
      <c r="H234" s="43">
        <f>IF(G234&gt;0,G234*Plan!$D$24/100/12,0)</f>
        <v/>
      </c>
      <c r="I234" s="42">
        <f>IF(G234&lt;=0,0,MIN(G234+H234,Plan!$E$24))</f>
        <v/>
      </c>
      <c r="J234" s="44">
        <f>MAX(0,G234+H234-I234)</f>
        <v/>
      </c>
      <c r="K234" s="42">
        <f>N233</f>
        <v/>
      </c>
      <c r="L234" s="43">
        <f>IF(K234&gt;0,K234*Plan!$D$25/100/12,0)</f>
        <v/>
      </c>
      <c r="M234" s="42">
        <f>IF(K234&lt;=0,0,MIN(K234+L234,Plan!$E$25))</f>
        <v/>
      </c>
      <c r="N234" s="44">
        <f>MAX(0,K234+L234-M234)</f>
        <v/>
      </c>
      <c r="O234" s="42">
        <f>R233</f>
        <v/>
      </c>
      <c r="P234" s="43">
        <f>IF(O234&gt;0,O234*Plan!$D$26/100/12,0)</f>
        <v/>
      </c>
      <c r="Q234" s="42">
        <f>IF(O234&lt;=0,0,MIN(O234+P234,Plan!$E$26))</f>
        <v/>
      </c>
      <c r="R234" s="44">
        <f>MAX(0,O234+P234-Q234)</f>
        <v/>
      </c>
      <c r="S234" s="42">
        <f>V233</f>
        <v/>
      </c>
      <c r="T234" s="43">
        <f>IF(S234&gt;0,S234*Plan!$D$27/100/12,0)</f>
        <v/>
      </c>
      <c r="U234" s="42">
        <f>IF(S234&lt;=0,0,MIN(S234+T234,Plan!$E$27))</f>
        <v/>
      </c>
      <c r="V234" s="44">
        <f>MAX(0,S234+T234-U234)</f>
        <v/>
      </c>
      <c r="W234" s="42">
        <f>Z233</f>
        <v/>
      </c>
      <c r="X234" s="43">
        <f>IF(W234&gt;0,W234*Plan!$D$28/100/12,0)</f>
        <v/>
      </c>
      <c r="Y234" s="42">
        <f>IF(W234&lt;=0,0,MIN(W234+X234,Plan!$E$28))</f>
        <v/>
      </c>
      <c r="Z234" s="44">
        <f>MAX(0,W234+X234-Y234)</f>
        <v/>
      </c>
      <c r="AA234" s="44">
        <f>F234+J234+N234+R234+V234+Z234</f>
        <v/>
      </c>
    </row>
    <row r="235">
      <c r="A235" s="46" t="n">
        <v>228</v>
      </c>
      <c r="B235" s="47">
        <f>EDATE(Plan!$C$18,227)</f>
        <v/>
      </c>
      <c r="C235" s="48">
        <f>F234</f>
        <v/>
      </c>
      <c r="D235" s="49">
        <f>IF(C235&gt;0,C235*Plan!$D$23/100/12,0)</f>
        <v/>
      </c>
      <c r="E235" s="48">
        <f>IF(C235&lt;=0,0,MIN(C235+D235,Plan!$E$23))</f>
        <v/>
      </c>
      <c r="F235" s="50">
        <f>MAX(0,C235+D235-E235)</f>
        <v/>
      </c>
      <c r="G235" s="48">
        <f>J234</f>
        <v/>
      </c>
      <c r="H235" s="49">
        <f>IF(G235&gt;0,G235*Plan!$D$24/100/12,0)</f>
        <v/>
      </c>
      <c r="I235" s="48">
        <f>IF(G235&lt;=0,0,MIN(G235+H235,Plan!$E$24))</f>
        <v/>
      </c>
      <c r="J235" s="50">
        <f>MAX(0,G235+H235-I235)</f>
        <v/>
      </c>
      <c r="K235" s="48">
        <f>N234</f>
        <v/>
      </c>
      <c r="L235" s="49">
        <f>IF(K235&gt;0,K235*Plan!$D$25/100/12,0)</f>
        <v/>
      </c>
      <c r="M235" s="48">
        <f>IF(K235&lt;=0,0,MIN(K235+L235,Plan!$E$25))</f>
        <v/>
      </c>
      <c r="N235" s="50">
        <f>MAX(0,K235+L235-M235)</f>
        <v/>
      </c>
      <c r="O235" s="48">
        <f>R234</f>
        <v/>
      </c>
      <c r="P235" s="49">
        <f>IF(O235&gt;0,O235*Plan!$D$26/100/12,0)</f>
        <v/>
      </c>
      <c r="Q235" s="48">
        <f>IF(O235&lt;=0,0,MIN(O235+P235,Plan!$E$26))</f>
        <v/>
      </c>
      <c r="R235" s="50">
        <f>MAX(0,O235+P235-Q235)</f>
        <v/>
      </c>
      <c r="S235" s="48">
        <f>V234</f>
        <v/>
      </c>
      <c r="T235" s="49">
        <f>IF(S235&gt;0,S235*Plan!$D$27/100/12,0)</f>
        <v/>
      </c>
      <c r="U235" s="48">
        <f>IF(S235&lt;=0,0,MIN(S235+T235,Plan!$E$27))</f>
        <v/>
      </c>
      <c r="V235" s="50">
        <f>MAX(0,S235+T235-U235)</f>
        <v/>
      </c>
      <c r="W235" s="48">
        <f>Z234</f>
        <v/>
      </c>
      <c r="X235" s="49">
        <f>IF(W235&gt;0,W235*Plan!$D$28/100/12,0)</f>
        <v/>
      </c>
      <c r="Y235" s="48">
        <f>IF(W235&lt;=0,0,MIN(W235+X235,Plan!$E$28))</f>
        <v/>
      </c>
      <c r="Z235" s="50">
        <f>MAX(0,W235+X235-Y235)</f>
        <v/>
      </c>
      <c r="AA235" s="50">
        <f>F235+J235+N235+R235+V235+Z235</f>
        <v/>
      </c>
    </row>
    <row r="236">
      <c r="A236" s="40" t="n">
        <v>229</v>
      </c>
      <c r="B236" s="41">
        <f>EDATE(Plan!$C$18,228)</f>
        <v/>
      </c>
      <c r="C236" s="42">
        <f>F235</f>
        <v/>
      </c>
      <c r="D236" s="43">
        <f>IF(C236&gt;0,C236*Plan!$D$23/100/12,0)</f>
        <v/>
      </c>
      <c r="E236" s="42">
        <f>IF(C236&lt;=0,0,MIN(C236+D236,Plan!$E$23))</f>
        <v/>
      </c>
      <c r="F236" s="44">
        <f>MAX(0,C236+D236-E236)</f>
        <v/>
      </c>
      <c r="G236" s="42">
        <f>J235</f>
        <v/>
      </c>
      <c r="H236" s="43">
        <f>IF(G236&gt;0,G236*Plan!$D$24/100/12,0)</f>
        <v/>
      </c>
      <c r="I236" s="42">
        <f>IF(G236&lt;=0,0,MIN(G236+H236,Plan!$E$24))</f>
        <v/>
      </c>
      <c r="J236" s="44">
        <f>MAX(0,G236+H236-I236)</f>
        <v/>
      </c>
      <c r="K236" s="42">
        <f>N235</f>
        <v/>
      </c>
      <c r="L236" s="43">
        <f>IF(K236&gt;0,K236*Plan!$D$25/100/12,0)</f>
        <v/>
      </c>
      <c r="M236" s="42">
        <f>IF(K236&lt;=0,0,MIN(K236+L236,Plan!$E$25))</f>
        <v/>
      </c>
      <c r="N236" s="44">
        <f>MAX(0,K236+L236-M236)</f>
        <v/>
      </c>
      <c r="O236" s="42">
        <f>R235</f>
        <v/>
      </c>
      <c r="P236" s="43">
        <f>IF(O236&gt;0,O236*Plan!$D$26/100/12,0)</f>
        <v/>
      </c>
      <c r="Q236" s="42">
        <f>IF(O236&lt;=0,0,MIN(O236+P236,Plan!$E$26))</f>
        <v/>
      </c>
      <c r="R236" s="44">
        <f>MAX(0,O236+P236-Q236)</f>
        <v/>
      </c>
      <c r="S236" s="42">
        <f>V235</f>
        <v/>
      </c>
      <c r="T236" s="43">
        <f>IF(S236&gt;0,S236*Plan!$D$27/100/12,0)</f>
        <v/>
      </c>
      <c r="U236" s="42">
        <f>IF(S236&lt;=0,0,MIN(S236+T236,Plan!$E$27))</f>
        <v/>
      </c>
      <c r="V236" s="44">
        <f>MAX(0,S236+T236-U236)</f>
        <v/>
      </c>
      <c r="W236" s="42">
        <f>Z235</f>
        <v/>
      </c>
      <c r="X236" s="43">
        <f>IF(W236&gt;0,W236*Plan!$D$28/100/12,0)</f>
        <v/>
      </c>
      <c r="Y236" s="42">
        <f>IF(W236&lt;=0,0,MIN(W236+X236,Plan!$E$28))</f>
        <v/>
      </c>
      <c r="Z236" s="44">
        <f>MAX(0,W236+X236-Y236)</f>
        <v/>
      </c>
      <c r="AA236" s="44">
        <f>F236+J236+N236+R236+V236+Z236</f>
        <v/>
      </c>
    </row>
    <row r="237">
      <c r="A237" s="46" t="n">
        <v>230</v>
      </c>
      <c r="B237" s="47">
        <f>EDATE(Plan!$C$18,229)</f>
        <v/>
      </c>
      <c r="C237" s="48">
        <f>F236</f>
        <v/>
      </c>
      <c r="D237" s="49">
        <f>IF(C237&gt;0,C237*Plan!$D$23/100/12,0)</f>
        <v/>
      </c>
      <c r="E237" s="48">
        <f>IF(C237&lt;=0,0,MIN(C237+D237,Plan!$E$23))</f>
        <v/>
      </c>
      <c r="F237" s="50">
        <f>MAX(0,C237+D237-E237)</f>
        <v/>
      </c>
      <c r="G237" s="48">
        <f>J236</f>
        <v/>
      </c>
      <c r="H237" s="49">
        <f>IF(G237&gt;0,G237*Plan!$D$24/100/12,0)</f>
        <v/>
      </c>
      <c r="I237" s="48">
        <f>IF(G237&lt;=0,0,MIN(G237+H237,Plan!$E$24))</f>
        <v/>
      </c>
      <c r="J237" s="50">
        <f>MAX(0,G237+H237-I237)</f>
        <v/>
      </c>
      <c r="K237" s="48">
        <f>N236</f>
        <v/>
      </c>
      <c r="L237" s="49">
        <f>IF(K237&gt;0,K237*Plan!$D$25/100/12,0)</f>
        <v/>
      </c>
      <c r="M237" s="48">
        <f>IF(K237&lt;=0,0,MIN(K237+L237,Plan!$E$25))</f>
        <v/>
      </c>
      <c r="N237" s="50">
        <f>MAX(0,K237+L237-M237)</f>
        <v/>
      </c>
      <c r="O237" s="48">
        <f>R236</f>
        <v/>
      </c>
      <c r="P237" s="49">
        <f>IF(O237&gt;0,O237*Plan!$D$26/100/12,0)</f>
        <v/>
      </c>
      <c r="Q237" s="48">
        <f>IF(O237&lt;=0,0,MIN(O237+P237,Plan!$E$26))</f>
        <v/>
      </c>
      <c r="R237" s="50">
        <f>MAX(0,O237+P237-Q237)</f>
        <v/>
      </c>
      <c r="S237" s="48">
        <f>V236</f>
        <v/>
      </c>
      <c r="T237" s="49">
        <f>IF(S237&gt;0,S237*Plan!$D$27/100/12,0)</f>
        <v/>
      </c>
      <c r="U237" s="48">
        <f>IF(S237&lt;=0,0,MIN(S237+T237,Plan!$E$27))</f>
        <v/>
      </c>
      <c r="V237" s="50">
        <f>MAX(0,S237+T237-U237)</f>
        <v/>
      </c>
      <c r="W237" s="48">
        <f>Z236</f>
        <v/>
      </c>
      <c r="X237" s="49">
        <f>IF(W237&gt;0,W237*Plan!$D$28/100/12,0)</f>
        <v/>
      </c>
      <c r="Y237" s="48">
        <f>IF(W237&lt;=0,0,MIN(W237+X237,Plan!$E$28))</f>
        <v/>
      </c>
      <c r="Z237" s="50">
        <f>MAX(0,W237+X237-Y237)</f>
        <v/>
      </c>
      <c r="AA237" s="50">
        <f>F237+J237+N237+R237+V237+Z237</f>
        <v/>
      </c>
    </row>
    <row r="238">
      <c r="A238" s="40" t="n">
        <v>231</v>
      </c>
      <c r="B238" s="41">
        <f>EDATE(Plan!$C$18,230)</f>
        <v/>
      </c>
      <c r="C238" s="42">
        <f>F237</f>
        <v/>
      </c>
      <c r="D238" s="43">
        <f>IF(C238&gt;0,C238*Plan!$D$23/100/12,0)</f>
        <v/>
      </c>
      <c r="E238" s="42">
        <f>IF(C238&lt;=0,0,MIN(C238+D238,Plan!$E$23))</f>
        <v/>
      </c>
      <c r="F238" s="44">
        <f>MAX(0,C238+D238-E238)</f>
        <v/>
      </c>
      <c r="G238" s="42">
        <f>J237</f>
        <v/>
      </c>
      <c r="H238" s="43">
        <f>IF(G238&gt;0,G238*Plan!$D$24/100/12,0)</f>
        <v/>
      </c>
      <c r="I238" s="42">
        <f>IF(G238&lt;=0,0,MIN(G238+H238,Plan!$E$24))</f>
        <v/>
      </c>
      <c r="J238" s="44">
        <f>MAX(0,G238+H238-I238)</f>
        <v/>
      </c>
      <c r="K238" s="42">
        <f>N237</f>
        <v/>
      </c>
      <c r="L238" s="43">
        <f>IF(K238&gt;0,K238*Plan!$D$25/100/12,0)</f>
        <v/>
      </c>
      <c r="M238" s="42">
        <f>IF(K238&lt;=0,0,MIN(K238+L238,Plan!$E$25))</f>
        <v/>
      </c>
      <c r="N238" s="44">
        <f>MAX(0,K238+L238-M238)</f>
        <v/>
      </c>
      <c r="O238" s="42">
        <f>R237</f>
        <v/>
      </c>
      <c r="P238" s="43">
        <f>IF(O238&gt;0,O238*Plan!$D$26/100/12,0)</f>
        <v/>
      </c>
      <c r="Q238" s="42">
        <f>IF(O238&lt;=0,0,MIN(O238+P238,Plan!$E$26))</f>
        <v/>
      </c>
      <c r="R238" s="44">
        <f>MAX(0,O238+P238-Q238)</f>
        <v/>
      </c>
      <c r="S238" s="42">
        <f>V237</f>
        <v/>
      </c>
      <c r="T238" s="43">
        <f>IF(S238&gt;0,S238*Plan!$D$27/100/12,0)</f>
        <v/>
      </c>
      <c r="U238" s="42">
        <f>IF(S238&lt;=0,0,MIN(S238+T238,Plan!$E$27))</f>
        <v/>
      </c>
      <c r="V238" s="44">
        <f>MAX(0,S238+T238-U238)</f>
        <v/>
      </c>
      <c r="W238" s="42">
        <f>Z237</f>
        <v/>
      </c>
      <c r="X238" s="43">
        <f>IF(W238&gt;0,W238*Plan!$D$28/100/12,0)</f>
        <v/>
      </c>
      <c r="Y238" s="42">
        <f>IF(W238&lt;=0,0,MIN(W238+X238,Plan!$E$28))</f>
        <v/>
      </c>
      <c r="Z238" s="44">
        <f>MAX(0,W238+X238-Y238)</f>
        <v/>
      </c>
      <c r="AA238" s="44">
        <f>F238+J238+N238+R238+V238+Z238</f>
        <v/>
      </c>
    </row>
    <row r="239">
      <c r="A239" s="46" t="n">
        <v>232</v>
      </c>
      <c r="B239" s="47">
        <f>EDATE(Plan!$C$18,231)</f>
        <v/>
      </c>
      <c r="C239" s="48">
        <f>F238</f>
        <v/>
      </c>
      <c r="D239" s="49">
        <f>IF(C239&gt;0,C239*Plan!$D$23/100/12,0)</f>
        <v/>
      </c>
      <c r="E239" s="48">
        <f>IF(C239&lt;=0,0,MIN(C239+D239,Plan!$E$23))</f>
        <v/>
      </c>
      <c r="F239" s="50">
        <f>MAX(0,C239+D239-E239)</f>
        <v/>
      </c>
      <c r="G239" s="48">
        <f>J238</f>
        <v/>
      </c>
      <c r="H239" s="49">
        <f>IF(G239&gt;0,G239*Plan!$D$24/100/12,0)</f>
        <v/>
      </c>
      <c r="I239" s="48">
        <f>IF(G239&lt;=0,0,MIN(G239+H239,Plan!$E$24))</f>
        <v/>
      </c>
      <c r="J239" s="50">
        <f>MAX(0,G239+H239-I239)</f>
        <v/>
      </c>
      <c r="K239" s="48">
        <f>N238</f>
        <v/>
      </c>
      <c r="L239" s="49">
        <f>IF(K239&gt;0,K239*Plan!$D$25/100/12,0)</f>
        <v/>
      </c>
      <c r="M239" s="48">
        <f>IF(K239&lt;=0,0,MIN(K239+L239,Plan!$E$25))</f>
        <v/>
      </c>
      <c r="N239" s="50">
        <f>MAX(0,K239+L239-M239)</f>
        <v/>
      </c>
      <c r="O239" s="48">
        <f>R238</f>
        <v/>
      </c>
      <c r="P239" s="49">
        <f>IF(O239&gt;0,O239*Plan!$D$26/100/12,0)</f>
        <v/>
      </c>
      <c r="Q239" s="48">
        <f>IF(O239&lt;=0,0,MIN(O239+P239,Plan!$E$26))</f>
        <v/>
      </c>
      <c r="R239" s="50">
        <f>MAX(0,O239+P239-Q239)</f>
        <v/>
      </c>
      <c r="S239" s="48">
        <f>V238</f>
        <v/>
      </c>
      <c r="T239" s="49">
        <f>IF(S239&gt;0,S239*Plan!$D$27/100/12,0)</f>
        <v/>
      </c>
      <c r="U239" s="48">
        <f>IF(S239&lt;=0,0,MIN(S239+T239,Plan!$E$27))</f>
        <v/>
      </c>
      <c r="V239" s="50">
        <f>MAX(0,S239+T239-U239)</f>
        <v/>
      </c>
      <c r="W239" s="48">
        <f>Z238</f>
        <v/>
      </c>
      <c r="X239" s="49">
        <f>IF(W239&gt;0,W239*Plan!$D$28/100/12,0)</f>
        <v/>
      </c>
      <c r="Y239" s="48">
        <f>IF(W239&lt;=0,0,MIN(W239+X239,Plan!$E$28))</f>
        <v/>
      </c>
      <c r="Z239" s="50">
        <f>MAX(0,W239+X239-Y239)</f>
        <v/>
      </c>
      <c r="AA239" s="50">
        <f>F239+J239+N239+R239+V239+Z239</f>
        <v/>
      </c>
    </row>
    <row r="240">
      <c r="A240" s="40" t="n">
        <v>233</v>
      </c>
      <c r="B240" s="41">
        <f>EDATE(Plan!$C$18,232)</f>
        <v/>
      </c>
      <c r="C240" s="42">
        <f>F239</f>
        <v/>
      </c>
      <c r="D240" s="43">
        <f>IF(C240&gt;0,C240*Plan!$D$23/100/12,0)</f>
        <v/>
      </c>
      <c r="E240" s="42">
        <f>IF(C240&lt;=0,0,MIN(C240+D240,Plan!$E$23))</f>
        <v/>
      </c>
      <c r="F240" s="44">
        <f>MAX(0,C240+D240-E240)</f>
        <v/>
      </c>
      <c r="G240" s="42">
        <f>J239</f>
        <v/>
      </c>
      <c r="H240" s="43">
        <f>IF(G240&gt;0,G240*Plan!$D$24/100/12,0)</f>
        <v/>
      </c>
      <c r="I240" s="42">
        <f>IF(G240&lt;=0,0,MIN(G240+H240,Plan!$E$24))</f>
        <v/>
      </c>
      <c r="J240" s="44">
        <f>MAX(0,G240+H240-I240)</f>
        <v/>
      </c>
      <c r="K240" s="42">
        <f>N239</f>
        <v/>
      </c>
      <c r="L240" s="43">
        <f>IF(K240&gt;0,K240*Plan!$D$25/100/12,0)</f>
        <v/>
      </c>
      <c r="M240" s="42">
        <f>IF(K240&lt;=0,0,MIN(K240+L240,Plan!$E$25))</f>
        <v/>
      </c>
      <c r="N240" s="44">
        <f>MAX(0,K240+L240-M240)</f>
        <v/>
      </c>
      <c r="O240" s="42">
        <f>R239</f>
        <v/>
      </c>
      <c r="P240" s="43">
        <f>IF(O240&gt;0,O240*Plan!$D$26/100/12,0)</f>
        <v/>
      </c>
      <c r="Q240" s="42">
        <f>IF(O240&lt;=0,0,MIN(O240+P240,Plan!$E$26))</f>
        <v/>
      </c>
      <c r="R240" s="44">
        <f>MAX(0,O240+P240-Q240)</f>
        <v/>
      </c>
      <c r="S240" s="42">
        <f>V239</f>
        <v/>
      </c>
      <c r="T240" s="43">
        <f>IF(S240&gt;0,S240*Plan!$D$27/100/12,0)</f>
        <v/>
      </c>
      <c r="U240" s="42">
        <f>IF(S240&lt;=0,0,MIN(S240+T240,Plan!$E$27))</f>
        <v/>
      </c>
      <c r="V240" s="44">
        <f>MAX(0,S240+T240-U240)</f>
        <v/>
      </c>
      <c r="W240" s="42">
        <f>Z239</f>
        <v/>
      </c>
      <c r="X240" s="43">
        <f>IF(W240&gt;0,W240*Plan!$D$28/100/12,0)</f>
        <v/>
      </c>
      <c r="Y240" s="42">
        <f>IF(W240&lt;=0,0,MIN(W240+X240,Plan!$E$28))</f>
        <v/>
      </c>
      <c r="Z240" s="44">
        <f>MAX(0,W240+X240-Y240)</f>
        <v/>
      </c>
      <c r="AA240" s="44">
        <f>F240+J240+N240+R240+V240+Z240</f>
        <v/>
      </c>
    </row>
    <row r="241">
      <c r="A241" s="46" t="n">
        <v>234</v>
      </c>
      <c r="B241" s="47">
        <f>EDATE(Plan!$C$18,233)</f>
        <v/>
      </c>
      <c r="C241" s="48">
        <f>F240</f>
        <v/>
      </c>
      <c r="D241" s="49">
        <f>IF(C241&gt;0,C241*Plan!$D$23/100/12,0)</f>
        <v/>
      </c>
      <c r="E241" s="48">
        <f>IF(C241&lt;=0,0,MIN(C241+D241,Plan!$E$23))</f>
        <v/>
      </c>
      <c r="F241" s="50">
        <f>MAX(0,C241+D241-E241)</f>
        <v/>
      </c>
      <c r="G241" s="48">
        <f>J240</f>
        <v/>
      </c>
      <c r="H241" s="49">
        <f>IF(G241&gt;0,G241*Plan!$D$24/100/12,0)</f>
        <v/>
      </c>
      <c r="I241" s="48">
        <f>IF(G241&lt;=0,0,MIN(G241+H241,Plan!$E$24))</f>
        <v/>
      </c>
      <c r="J241" s="50">
        <f>MAX(0,G241+H241-I241)</f>
        <v/>
      </c>
      <c r="K241" s="48">
        <f>N240</f>
        <v/>
      </c>
      <c r="L241" s="49">
        <f>IF(K241&gt;0,K241*Plan!$D$25/100/12,0)</f>
        <v/>
      </c>
      <c r="M241" s="48">
        <f>IF(K241&lt;=0,0,MIN(K241+L241,Plan!$E$25))</f>
        <v/>
      </c>
      <c r="N241" s="50">
        <f>MAX(0,K241+L241-M241)</f>
        <v/>
      </c>
      <c r="O241" s="48">
        <f>R240</f>
        <v/>
      </c>
      <c r="P241" s="49">
        <f>IF(O241&gt;0,O241*Plan!$D$26/100/12,0)</f>
        <v/>
      </c>
      <c r="Q241" s="48">
        <f>IF(O241&lt;=0,0,MIN(O241+P241,Plan!$E$26))</f>
        <v/>
      </c>
      <c r="R241" s="50">
        <f>MAX(0,O241+P241-Q241)</f>
        <v/>
      </c>
      <c r="S241" s="48">
        <f>V240</f>
        <v/>
      </c>
      <c r="T241" s="49">
        <f>IF(S241&gt;0,S241*Plan!$D$27/100/12,0)</f>
        <v/>
      </c>
      <c r="U241" s="48">
        <f>IF(S241&lt;=0,0,MIN(S241+T241,Plan!$E$27))</f>
        <v/>
      </c>
      <c r="V241" s="50">
        <f>MAX(0,S241+T241-U241)</f>
        <v/>
      </c>
      <c r="W241" s="48">
        <f>Z240</f>
        <v/>
      </c>
      <c r="X241" s="49">
        <f>IF(W241&gt;0,W241*Plan!$D$28/100/12,0)</f>
        <v/>
      </c>
      <c r="Y241" s="48">
        <f>IF(W241&lt;=0,0,MIN(W241+X241,Plan!$E$28))</f>
        <v/>
      </c>
      <c r="Z241" s="50">
        <f>MAX(0,W241+X241-Y241)</f>
        <v/>
      </c>
      <c r="AA241" s="50">
        <f>F241+J241+N241+R241+V241+Z241</f>
        <v/>
      </c>
    </row>
    <row r="242">
      <c r="A242" s="40" t="n">
        <v>235</v>
      </c>
      <c r="B242" s="41">
        <f>EDATE(Plan!$C$18,234)</f>
        <v/>
      </c>
      <c r="C242" s="42">
        <f>F241</f>
        <v/>
      </c>
      <c r="D242" s="43">
        <f>IF(C242&gt;0,C242*Plan!$D$23/100/12,0)</f>
        <v/>
      </c>
      <c r="E242" s="42">
        <f>IF(C242&lt;=0,0,MIN(C242+D242,Plan!$E$23))</f>
        <v/>
      </c>
      <c r="F242" s="44">
        <f>MAX(0,C242+D242-E242)</f>
        <v/>
      </c>
      <c r="G242" s="42">
        <f>J241</f>
        <v/>
      </c>
      <c r="H242" s="43">
        <f>IF(G242&gt;0,G242*Plan!$D$24/100/12,0)</f>
        <v/>
      </c>
      <c r="I242" s="42">
        <f>IF(G242&lt;=0,0,MIN(G242+H242,Plan!$E$24))</f>
        <v/>
      </c>
      <c r="J242" s="44">
        <f>MAX(0,G242+H242-I242)</f>
        <v/>
      </c>
      <c r="K242" s="42">
        <f>N241</f>
        <v/>
      </c>
      <c r="L242" s="43">
        <f>IF(K242&gt;0,K242*Plan!$D$25/100/12,0)</f>
        <v/>
      </c>
      <c r="M242" s="42">
        <f>IF(K242&lt;=0,0,MIN(K242+L242,Plan!$E$25))</f>
        <v/>
      </c>
      <c r="N242" s="44">
        <f>MAX(0,K242+L242-M242)</f>
        <v/>
      </c>
      <c r="O242" s="42">
        <f>R241</f>
        <v/>
      </c>
      <c r="P242" s="43">
        <f>IF(O242&gt;0,O242*Plan!$D$26/100/12,0)</f>
        <v/>
      </c>
      <c r="Q242" s="42">
        <f>IF(O242&lt;=0,0,MIN(O242+P242,Plan!$E$26))</f>
        <v/>
      </c>
      <c r="R242" s="44">
        <f>MAX(0,O242+P242-Q242)</f>
        <v/>
      </c>
      <c r="S242" s="42">
        <f>V241</f>
        <v/>
      </c>
      <c r="T242" s="43">
        <f>IF(S242&gt;0,S242*Plan!$D$27/100/12,0)</f>
        <v/>
      </c>
      <c r="U242" s="42">
        <f>IF(S242&lt;=0,0,MIN(S242+T242,Plan!$E$27))</f>
        <v/>
      </c>
      <c r="V242" s="44">
        <f>MAX(0,S242+T242-U242)</f>
        <v/>
      </c>
      <c r="W242" s="42">
        <f>Z241</f>
        <v/>
      </c>
      <c r="X242" s="43">
        <f>IF(W242&gt;0,W242*Plan!$D$28/100/12,0)</f>
        <v/>
      </c>
      <c r="Y242" s="42">
        <f>IF(W242&lt;=0,0,MIN(W242+X242,Plan!$E$28))</f>
        <v/>
      </c>
      <c r="Z242" s="44">
        <f>MAX(0,W242+X242-Y242)</f>
        <v/>
      </c>
      <c r="AA242" s="44">
        <f>F242+J242+N242+R242+V242+Z242</f>
        <v/>
      </c>
    </row>
    <row r="243">
      <c r="A243" s="46" t="n">
        <v>236</v>
      </c>
      <c r="B243" s="47">
        <f>EDATE(Plan!$C$18,235)</f>
        <v/>
      </c>
      <c r="C243" s="48">
        <f>F242</f>
        <v/>
      </c>
      <c r="D243" s="49">
        <f>IF(C243&gt;0,C243*Plan!$D$23/100/12,0)</f>
        <v/>
      </c>
      <c r="E243" s="48">
        <f>IF(C243&lt;=0,0,MIN(C243+D243,Plan!$E$23))</f>
        <v/>
      </c>
      <c r="F243" s="50">
        <f>MAX(0,C243+D243-E243)</f>
        <v/>
      </c>
      <c r="G243" s="48">
        <f>J242</f>
        <v/>
      </c>
      <c r="H243" s="49">
        <f>IF(G243&gt;0,G243*Plan!$D$24/100/12,0)</f>
        <v/>
      </c>
      <c r="I243" s="48">
        <f>IF(G243&lt;=0,0,MIN(G243+H243,Plan!$E$24))</f>
        <v/>
      </c>
      <c r="J243" s="50">
        <f>MAX(0,G243+H243-I243)</f>
        <v/>
      </c>
      <c r="K243" s="48">
        <f>N242</f>
        <v/>
      </c>
      <c r="L243" s="49">
        <f>IF(K243&gt;0,K243*Plan!$D$25/100/12,0)</f>
        <v/>
      </c>
      <c r="M243" s="48">
        <f>IF(K243&lt;=0,0,MIN(K243+L243,Plan!$E$25))</f>
        <v/>
      </c>
      <c r="N243" s="50">
        <f>MAX(0,K243+L243-M243)</f>
        <v/>
      </c>
      <c r="O243" s="48">
        <f>R242</f>
        <v/>
      </c>
      <c r="P243" s="49">
        <f>IF(O243&gt;0,O243*Plan!$D$26/100/12,0)</f>
        <v/>
      </c>
      <c r="Q243" s="48">
        <f>IF(O243&lt;=0,0,MIN(O243+P243,Plan!$E$26))</f>
        <v/>
      </c>
      <c r="R243" s="50">
        <f>MAX(0,O243+P243-Q243)</f>
        <v/>
      </c>
      <c r="S243" s="48">
        <f>V242</f>
        <v/>
      </c>
      <c r="T243" s="49">
        <f>IF(S243&gt;0,S243*Plan!$D$27/100/12,0)</f>
        <v/>
      </c>
      <c r="U243" s="48">
        <f>IF(S243&lt;=0,0,MIN(S243+T243,Plan!$E$27))</f>
        <v/>
      </c>
      <c r="V243" s="50">
        <f>MAX(0,S243+T243-U243)</f>
        <v/>
      </c>
      <c r="W243" s="48">
        <f>Z242</f>
        <v/>
      </c>
      <c r="X243" s="49">
        <f>IF(W243&gt;0,W243*Plan!$D$28/100/12,0)</f>
        <v/>
      </c>
      <c r="Y243" s="48">
        <f>IF(W243&lt;=0,0,MIN(W243+X243,Plan!$E$28))</f>
        <v/>
      </c>
      <c r="Z243" s="50">
        <f>MAX(0,W243+X243-Y243)</f>
        <v/>
      </c>
      <c r="AA243" s="50">
        <f>F243+J243+N243+R243+V243+Z243</f>
        <v/>
      </c>
    </row>
    <row r="244">
      <c r="A244" s="40" t="n">
        <v>237</v>
      </c>
      <c r="B244" s="41">
        <f>EDATE(Plan!$C$18,236)</f>
        <v/>
      </c>
      <c r="C244" s="42">
        <f>F243</f>
        <v/>
      </c>
      <c r="D244" s="43">
        <f>IF(C244&gt;0,C244*Plan!$D$23/100/12,0)</f>
        <v/>
      </c>
      <c r="E244" s="42">
        <f>IF(C244&lt;=0,0,MIN(C244+D244,Plan!$E$23))</f>
        <v/>
      </c>
      <c r="F244" s="44">
        <f>MAX(0,C244+D244-E244)</f>
        <v/>
      </c>
      <c r="G244" s="42">
        <f>J243</f>
        <v/>
      </c>
      <c r="H244" s="43">
        <f>IF(G244&gt;0,G244*Plan!$D$24/100/12,0)</f>
        <v/>
      </c>
      <c r="I244" s="42">
        <f>IF(G244&lt;=0,0,MIN(G244+H244,Plan!$E$24))</f>
        <v/>
      </c>
      <c r="J244" s="44">
        <f>MAX(0,G244+H244-I244)</f>
        <v/>
      </c>
      <c r="K244" s="42">
        <f>N243</f>
        <v/>
      </c>
      <c r="L244" s="43">
        <f>IF(K244&gt;0,K244*Plan!$D$25/100/12,0)</f>
        <v/>
      </c>
      <c r="M244" s="42">
        <f>IF(K244&lt;=0,0,MIN(K244+L244,Plan!$E$25))</f>
        <v/>
      </c>
      <c r="N244" s="44">
        <f>MAX(0,K244+L244-M244)</f>
        <v/>
      </c>
      <c r="O244" s="42">
        <f>R243</f>
        <v/>
      </c>
      <c r="P244" s="43">
        <f>IF(O244&gt;0,O244*Plan!$D$26/100/12,0)</f>
        <v/>
      </c>
      <c r="Q244" s="42">
        <f>IF(O244&lt;=0,0,MIN(O244+P244,Plan!$E$26))</f>
        <v/>
      </c>
      <c r="R244" s="44">
        <f>MAX(0,O244+P244-Q244)</f>
        <v/>
      </c>
      <c r="S244" s="42">
        <f>V243</f>
        <v/>
      </c>
      <c r="T244" s="43">
        <f>IF(S244&gt;0,S244*Plan!$D$27/100/12,0)</f>
        <v/>
      </c>
      <c r="U244" s="42">
        <f>IF(S244&lt;=0,0,MIN(S244+T244,Plan!$E$27))</f>
        <v/>
      </c>
      <c r="V244" s="44">
        <f>MAX(0,S244+T244-U244)</f>
        <v/>
      </c>
      <c r="W244" s="42">
        <f>Z243</f>
        <v/>
      </c>
      <c r="X244" s="43">
        <f>IF(W244&gt;0,W244*Plan!$D$28/100/12,0)</f>
        <v/>
      </c>
      <c r="Y244" s="42">
        <f>IF(W244&lt;=0,0,MIN(W244+X244,Plan!$E$28))</f>
        <v/>
      </c>
      <c r="Z244" s="44">
        <f>MAX(0,W244+X244-Y244)</f>
        <v/>
      </c>
      <c r="AA244" s="44">
        <f>F244+J244+N244+R244+V244+Z244</f>
        <v/>
      </c>
    </row>
    <row r="245">
      <c r="A245" s="46" t="n">
        <v>238</v>
      </c>
      <c r="B245" s="47">
        <f>EDATE(Plan!$C$18,237)</f>
        <v/>
      </c>
      <c r="C245" s="48">
        <f>F244</f>
        <v/>
      </c>
      <c r="D245" s="49">
        <f>IF(C245&gt;0,C245*Plan!$D$23/100/12,0)</f>
        <v/>
      </c>
      <c r="E245" s="48">
        <f>IF(C245&lt;=0,0,MIN(C245+D245,Plan!$E$23))</f>
        <v/>
      </c>
      <c r="F245" s="50">
        <f>MAX(0,C245+D245-E245)</f>
        <v/>
      </c>
      <c r="G245" s="48">
        <f>J244</f>
        <v/>
      </c>
      <c r="H245" s="49">
        <f>IF(G245&gt;0,G245*Plan!$D$24/100/12,0)</f>
        <v/>
      </c>
      <c r="I245" s="48">
        <f>IF(G245&lt;=0,0,MIN(G245+H245,Plan!$E$24))</f>
        <v/>
      </c>
      <c r="J245" s="50">
        <f>MAX(0,G245+H245-I245)</f>
        <v/>
      </c>
      <c r="K245" s="48">
        <f>N244</f>
        <v/>
      </c>
      <c r="L245" s="49">
        <f>IF(K245&gt;0,K245*Plan!$D$25/100/12,0)</f>
        <v/>
      </c>
      <c r="M245" s="48">
        <f>IF(K245&lt;=0,0,MIN(K245+L245,Plan!$E$25))</f>
        <v/>
      </c>
      <c r="N245" s="50">
        <f>MAX(0,K245+L245-M245)</f>
        <v/>
      </c>
      <c r="O245" s="48">
        <f>R244</f>
        <v/>
      </c>
      <c r="P245" s="49">
        <f>IF(O245&gt;0,O245*Plan!$D$26/100/12,0)</f>
        <v/>
      </c>
      <c r="Q245" s="48">
        <f>IF(O245&lt;=0,0,MIN(O245+P245,Plan!$E$26))</f>
        <v/>
      </c>
      <c r="R245" s="50">
        <f>MAX(0,O245+P245-Q245)</f>
        <v/>
      </c>
      <c r="S245" s="48">
        <f>V244</f>
        <v/>
      </c>
      <c r="T245" s="49">
        <f>IF(S245&gt;0,S245*Plan!$D$27/100/12,0)</f>
        <v/>
      </c>
      <c r="U245" s="48">
        <f>IF(S245&lt;=0,0,MIN(S245+T245,Plan!$E$27))</f>
        <v/>
      </c>
      <c r="V245" s="50">
        <f>MAX(0,S245+T245-U245)</f>
        <v/>
      </c>
      <c r="W245" s="48">
        <f>Z244</f>
        <v/>
      </c>
      <c r="X245" s="49">
        <f>IF(W245&gt;0,W245*Plan!$D$28/100/12,0)</f>
        <v/>
      </c>
      <c r="Y245" s="48">
        <f>IF(W245&lt;=0,0,MIN(W245+X245,Plan!$E$28))</f>
        <v/>
      </c>
      <c r="Z245" s="50">
        <f>MAX(0,W245+X245-Y245)</f>
        <v/>
      </c>
      <c r="AA245" s="50">
        <f>F245+J245+N245+R245+V245+Z245</f>
        <v/>
      </c>
    </row>
    <row r="246">
      <c r="A246" s="40" t="n">
        <v>239</v>
      </c>
      <c r="B246" s="41">
        <f>EDATE(Plan!$C$18,238)</f>
        <v/>
      </c>
      <c r="C246" s="42">
        <f>F245</f>
        <v/>
      </c>
      <c r="D246" s="43">
        <f>IF(C246&gt;0,C246*Plan!$D$23/100/12,0)</f>
        <v/>
      </c>
      <c r="E246" s="42">
        <f>IF(C246&lt;=0,0,MIN(C246+D246,Plan!$E$23))</f>
        <v/>
      </c>
      <c r="F246" s="44">
        <f>MAX(0,C246+D246-E246)</f>
        <v/>
      </c>
      <c r="G246" s="42">
        <f>J245</f>
        <v/>
      </c>
      <c r="H246" s="43">
        <f>IF(G246&gt;0,G246*Plan!$D$24/100/12,0)</f>
        <v/>
      </c>
      <c r="I246" s="42">
        <f>IF(G246&lt;=0,0,MIN(G246+H246,Plan!$E$24))</f>
        <v/>
      </c>
      <c r="J246" s="44">
        <f>MAX(0,G246+H246-I246)</f>
        <v/>
      </c>
      <c r="K246" s="42">
        <f>N245</f>
        <v/>
      </c>
      <c r="L246" s="43">
        <f>IF(K246&gt;0,K246*Plan!$D$25/100/12,0)</f>
        <v/>
      </c>
      <c r="M246" s="42">
        <f>IF(K246&lt;=0,0,MIN(K246+L246,Plan!$E$25))</f>
        <v/>
      </c>
      <c r="N246" s="44">
        <f>MAX(0,K246+L246-M246)</f>
        <v/>
      </c>
      <c r="O246" s="42">
        <f>R245</f>
        <v/>
      </c>
      <c r="P246" s="43">
        <f>IF(O246&gt;0,O246*Plan!$D$26/100/12,0)</f>
        <v/>
      </c>
      <c r="Q246" s="42">
        <f>IF(O246&lt;=0,0,MIN(O246+P246,Plan!$E$26))</f>
        <v/>
      </c>
      <c r="R246" s="44">
        <f>MAX(0,O246+P246-Q246)</f>
        <v/>
      </c>
      <c r="S246" s="42">
        <f>V245</f>
        <v/>
      </c>
      <c r="T246" s="43">
        <f>IF(S246&gt;0,S246*Plan!$D$27/100/12,0)</f>
        <v/>
      </c>
      <c r="U246" s="42">
        <f>IF(S246&lt;=0,0,MIN(S246+T246,Plan!$E$27))</f>
        <v/>
      </c>
      <c r="V246" s="44">
        <f>MAX(0,S246+T246-U246)</f>
        <v/>
      </c>
      <c r="W246" s="42">
        <f>Z245</f>
        <v/>
      </c>
      <c r="X246" s="43">
        <f>IF(W246&gt;0,W246*Plan!$D$28/100/12,0)</f>
        <v/>
      </c>
      <c r="Y246" s="42">
        <f>IF(W246&lt;=0,0,MIN(W246+X246,Plan!$E$28))</f>
        <v/>
      </c>
      <c r="Z246" s="44">
        <f>MAX(0,W246+X246-Y246)</f>
        <v/>
      </c>
      <c r="AA246" s="44">
        <f>F246+J246+N246+R246+V246+Z246</f>
        <v/>
      </c>
    </row>
    <row r="247">
      <c r="A247" s="46" t="n">
        <v>240</v>
      </c>
      <c r="B247" s="47">
        <f>EDATE(Plan!$C$18,239)</f>
        <v/>
      </c>
      <c r="C247" s="48">
        <f>F246</f>
        <v/>
      </c>
      <c r="D247" s="49">
        <f>IF(C247&gt;0,C247*Plan!$D$23/100/12,0)</f>
        <v/>
      </c>
      <c r="E247" s="48">
        <f>IF(C247&lt;=0,0,MIN(C247+D247,Plan!$E$23))</f>
        <v/>
      </c>
      <c r="F247" s="50">
        <f>MAX(0,C247+D247-E247)</f>
        <v/>
      </c>
      <c r="G247" s="48">
        <f>J246</f>
        <v/>
      </c>
      <c r="H247" s="49">
        <f>IF(G247&gt;0,G247*Plan!$D$24/100/12,0)</f>
        <v/>
      </c>
      <c r="I247" s="48">
        <f>IF(G247&lt;=0,0,MIN(G247+H247,Plan!$E$24))</f>
        <v/>
      </c>
      <c r="J247" s="50">
        <f>MAX(0,G247+H247-I247)</f>
        <v/>
      </c>
      <c r="K247" s="48">
        <f>N246</f>
        <v/>
      </c>
      <c r="L247" s="49">
        <f>IF(K247&gt;0,K247*Plan!$D$25/100/12,0)</f>
        <v/>
      </c>
      <c r="M247" s="48">
        <f>IF(K247&lt;=0,0,MIN(K247+L247,Plan!$E$25))</f>
        <v/>
      </c>
      <c r="N247" s="50">
        <f>MAX(0,K247+L247-M247)</f>
        <v/>
      </c>
      <c r="O247" s="48">
        <f>R246</f>
        <v/>
      </c>
      <c r="P247" s="49">
        <f>IF(O247&gt;0,O247*Plan!$D$26/100/12,0)</f>
        <v/>
      </c>
      <c r="Q247" s="48">
        <f>IF(O247&lt;=0,0,MIN(O247+P247,Plan!$E$26))</f>
        <v/>
      </c>
      <c r="R247" s="50">
        <f>MAX(0,O247+P247-Q247)</f>
        <v/>
      </c>
      <c r="S247" s="48">
        <f>V246</f>
        <v/>
      </c>
      <c r="T247" s="49">
        <f>IF(S247&gt;0,S247*Plan!$D$27/100/12,0)</f>
        <v/>
      </c>
      <c r="U247" s="48">
        <f>IF(S247&lt;=0,0,MIN(S247+T247,Plan!$E$27))</f>
        <v/>
      </c>
      <c r="V247" s="50">
        <f>MAX(0,S247+T247-U247)</f>
        <v/>
      </c>
      <c r="W247" s="48">
        <f>Z246</f>
        <v/>
      </c>
      <c r="X247" s="49">
        <f>IF(W247&gt;0,W247*Plan!$D$28/100/12,0)</f>
        <v/>
      </c>
      <c r="Y247" s="48">
        <f>IF(W247&lt;=0,0,MIN(W247+X247,Plan!$E$28))</f>
        <v/>
      </c>
      <c r="Z247" s="50">
        <f>MAX(0,W247+X247-Y247)</f>
        <v/>
      </c>
      <c r="AA247" s="50">
        <f>F247+J247+N247+R247+V247+Z247</f>
        <v/>
      </c>
    </row>
  </sheetData>
  <mergeCells count="6">
    <mergeCell ref="G6:J6"/>
    <mergeCell ref="K6:N6"/>
    <mergeCell ref="C6:F6"/>
    <mergeCell ref="O6:R6"/>
    <mergeCell ref="S6:V6"/>
    <mergeCell ref="W6:Z6"/>
  </mergeCells>
  <conditionalFormatting sqref="A8:AA247">
    <cfRule type="expression" priority="1" dxfId="2">
      <formula>$AA8&lt;=0</formula>
    </cfRule>
  </conditionalFormatting>
  <pageMargins left="0.75" right="0.75" top="1" bottom="1" header="0.5" footer="0.5"/>
</worksheet>
</file>

<file path=xl/worksheets/sheet4.xml><?xml version="1.0" encoding="utf-8"?>
<worksheet xmlns="http://schemas.openxmlformats.org/spreadsheetml/2006/main">
  <sheetPr>
    <tabColor rgb="0034C771"/>
    <outlinePr summaryBelow="1" summaryRight="1"/>
    <pageSetUpPr/>
  </sheetPr>
  <dimension ref="A1:G126"/>
  <sheetViews>
    <sheetView showGridLines="0" workbookViewId="0">
      <pane ySplit="6" topLeftCell="A7" activePane="bottomLeft" state="frozen"/>
      <selection pane="bottomLeft" activeCell="A1" sqref="A1"/>
    </sheetView>
  </sheetViews>
  <sheetFormatPr baseColWidth="8" defaultRowHeight="15"/>
  <cols>
    <col width="2" customWidth="1" min="1" max="1"/>
    <col width="13" customWidth="1" min="2" max="2"/>
    <col width="22" customWidth="1" min="3" max="3"/>
    <col width="14" customWidth="1" min="4" max="4"/>
    <col width="15" customWidth="1" min="5" max="5"/>
    <col width="40" customWidth="1" min="6" max="6"/>
  </cols>
  <sheetData>
    <row r="1" ht="10" customHeight="1">
      <c r="A1" s="1" t="n"/>
      <c r="B1" s="1" t="n"/>
      <c r="C1" s="1" t="n"/>
      <c r="D1" s="1" t="n"/>
      <c r="E1" s="1" t="n"/>
      <c r="F1" s="1" t="n"/>
      <c r="G1" s="1" t="n"/>
    </row>
    <row r="2" ht="16" customHeight="1">
      <c r="A2" s="1" t="n"/>
      <c r="B2" s="2" t="inlineStr">
        <is>
          <t>[ DEBTLESS ]  RECEIPTS</t>
        </is>
      </c>
      <c r="C2" s="1" t="n"/>
      <c r="D2" s="1" t="n"/>
      <c r="E2" s="1" t="n"/>
      <c r="F2" s="1" t="n"/>
      <c r="G2" s="1" t="n"/>
    </row>
    <row r="3" ht="34" customHeight="1">
      <c r="A3" s="1" t="n"/>
      <c r="B3" s="3" t="inlineStr">
        <is>
          <t>Payment log.</t>
        </is>
      </c>
      <c r="C3" s="1" t="n"/>
      <c r="D3" s="1" t="n"/>
      <c r="E3" s="1" t="n"/>
      <c r="F3" s="1" t="n"/>
      <c r="G3" s="1" t="n"/>
    </row>
    <row r="4" ht="20" customHeight="1">
      <c r="A4" s="1" t="n"/>
      <c r="B4" s="4" t="inlineStr">
        <is>
          <t>Write down every payment. The running total shows how far you've come.</t>
        </is>
      </c>
      <c r="C4" s="1" t="n"/>
      <c r="D4" s="1" t="n"/>
      <c r="E4" s="1" t="n"/>
      <c r="F4" s="1" t="n"/>
      <c r="G4" s="1" t="n"/>
    </row>
    <row r="6" ht="22" customHeight="1">
      <c r="B6" s="6" t="inlineStr">
        <is>
          <t>Date</t>
        </is>
      </c>
      <c r="C6" s="7" t="inlineStr">
        <is>
          <t>Debt</t>
        </is>
      </c>
      <c r="D6" s="7" t="inlineStr">
        <is>
          <t>Amount</t>
        </is>
      </c>
      <c r="E6" s="7" t="inlineStr">
        <is>
          <t>Running total</t>
        </is>
      </c>
      <c r="F6" s="7" t="inlineStr">
        <is>
          <t>Note</t>
        </is>
      </c>
    </row>
    <row r="7">
      <c r="B7" s="52" t="n"/>
      <c r="C7" s="10" t="n"/>
      <c r="D7" s="11" t="n"/>
      <c r="E7" s="27">
        <f>IF(D7="","",SUM($D$7:D7))</f>
        <v/>
      </c>
      <c r="F7" s="10" t="n"/>
    </row>
    <row r="8">
      <c r="B8" s="52" t="n"/>
      <c r="C8" s="10" t="n"/>
      <c r="D8" s="11" t="n"/>
      <c r="E8" s="53">
        <f>IF(D8="","",SUM($D$7:D8))</f>
        <v/>
      </c>
      <c r="F8" s="10" t="n"/>
    </row>
    <row r="9">
      <c r="B9" s="52" t="n"/>
      <c r="C9" s="10" t="n"/>
      <c r="D9" s="11" t="n"/>
      <c r="E9" s="27">
        <f>IF(D9="","",SUM($D$7:D9))</f>
        <v/>
      </c>
      <c r="F9" s="10" t="n"/>
    </row>
    <row r="10">
      <c r="B10" s="52" t="n"/>
      <c r="C10" s="10" t="n"/>
      <c r="D10" s="11" t="n"/>
      <c r="E10" s="53">
        <f>IF(D10="","",SUM($D$7:D10))</f>
        <v/>
      </c>
      <c r="F10" s="10" t="n"/>
    </row>
    <row r="11">
      <c r="B11" s="52" t="n"/>
      <c r="C11" s="10" t="n"/>
      <c r="D11" s="11" t="n"/>
      <c r="E11" s="27">
        <f>IF(D11="","",SUM($D$7:D11))</f>
        <v/>
      </c>
      <c r="F11" s="10" t="n"/>
    </row>
    <row r="12">
      <c r="B12" s="52" t="n"/>
      <c r="C12" s="10" t="n"/>
      <c r="D12" s="11" t="n"/>
      <c r="E12" s="53">
        <f>IF(D12="","",SUM($D$7:D12))</f>
        <v/>
      </c>
      <c r="F12" s="10" t="n"/>
    </row>
    <row r="13">
      <c r="B13" s="52" t="n"/>
      <c r="C13" s="10" t="n"/>
      <c r="D13" s="11" t="n"/>
      <c r="E13" s="27">
        <f>IF(D13="","",SUM($D$7:D13))</f>
        <v/>
      </c>
      <c r="F13" s="10" t="n"/>
    </row>
    <row r="14">
      <c r="B14" s="52" t="n"/>
      <c r="C14" s="10" t="n"/>
      <c r="D14" s="11" t="n"/>
      <c r="E14" s="53">
        <f>IF(D14="","",SUM($D$7:D14))</f>
        <v/>
      </c>
      <c r="F14" s="10" t="n"/>
    </row>
    <row r="15">
      <c r="B15" s="52" t="n"/>
      <c r="C15" s="10" t="n"/>
      <c r="D15" s="11" t="n"/>
      <c r="E15" s="27">
        <f>IF(D15="","",SUM($D$7:D15))</f>
        <v/>
      </c>
      <c r="F15" s="10" t="n"/>
    </row>
    <row r="16">
      <c r="B16" s="52" t="n"/>
      <c r="C16" s="10" t="n"/>
      <c r="D16" s="11" t="n"/>
      <c r="E16" s="53">
        <f>IF(D16="","",SUM($D$7:D16))</f>
        <v/>
      </c>
      <c r="F16" s="10" t="n"/>
    </row>
    <row r="17">
      <c r="B17" s="52" t="n"/>
      <c r="C17" s="10" t="n"/>
      <c r="D17" s="11" t="n"/>
      <c r="E17" s="27">
        <f>IF(D17="","",SUM($D$7:D17))</f>
        <v/>
      </c>
      <c r="F17" s="10" t="n"/>
    </row>
    <row r="18">
      <c r="B18" s="52" t="n"/>
      <c r="C18" s="10" t="n"/>
      <c r="D18" s="11" t="n"/>
      <c r="E18" s="53">
        <f>IF(D18="","",SUM($D$7:D18))</f>
        <v/>
      </c>
      <c r="F18" s="10" t="n"/>
    </row>
    <row r="19">
      <c r="B19" s="52" t="n"/>
      <c r="C19" s="10" t="n"/>
      <c r="D19" s="11" t="n"/>
      <c r="E19" s="27">
        <f>IF(D19="","",SUM($D$7:D19))</f>
        <v/>
      </c>
      <c r="F19" s="10" t="n"/>
    </row>
    <row r="20">
      <c r="B20" s="52" t="n"/>
      <c r="C20" s="10" t="n"/>
      <c r="D20" s="11" t="n"/>
      <c r="E20" s="53">
        <f>IF(D20="","",SUM($D$7:D20))</f>
        <v/>
      </c>
      <c r="F20" s="10" t="n"/>
    </row>
    <row r="21">
      <c r="B21" s="52" t="n"/>
      <c r="C21" s="10" t="n"/>
      <c r="D21" s="11" t="n"/>
      <c r="E21" s="27">
        <f>IF(D21="","",SUM($D$7:D21))</f>
        <v/>
      </c>
      <c r="F21" s="10" t="n"/>
    </row>
    <row r="22">
      <c r="B22" s="52" t="n"/>
      <c r="C22" s="10" t="n"/>
      <c r="D22" s="11" t="n"/>
      <c r="E22" s="53">
        <f>IF(D22="","",SUM($D$7:D22))</f>
        <v/>
      </c>
      <c r="F22" s="10" t="n"/>
    </row>
    <row r="23">
      <c r="B23" s="52" t="n"/>
      <c r="C23" s="10" t="n"/>
      <c r="D23" s="11" t="n"/>
      <c r="E23" s="27">
        <f>IF(D23="","",SUM($D$7:D23))</f>
        <v/>
      </c>
      <c r="F23" s="10" t="n"/>
    </row>
    <row r="24">
      <c r="B24" s="52" t="n"/>
      <c r="C24" s="10" t="n"/>
      <c r="D24" s="11" t="n"/>
      <c r="E24" s="53">
        <f>IF(D24="","",SUM($D$7:D24))</f>
        <v/>
      </c>
      <c r="F24" s="10" t="n"/>
    </row>
    <row r="25">
      <c r="B25" s="52" t="n"/>
      <c r="C25" s="10" t="n"/>
      <c r="D25" s="11" t="n"/>
      <c r="E25" s="27">
        <f>IF(D25="","",SUM($D$7:D25))</f>
        <v/>
      </c>
      <c r="F25" s="10" t="n"/>
    </row>
    <row r="26">
      <c r="B26" s="52" t="n"/>
      <c r="C26" s="10" t="n"/>
      <c r="D26" s="11" t="n"/>
      <c r="E26" s="53">
        <f>IF(D26="","",SUM($D$7:D26))</f>
        <v/>
      </c>
      <c r="F26" s="10" t="n"/>
    </row>
    <row r="27">
      <c r="B27" s="52" t="n"/>
      <c r="C27" s="10" t="n"/>
      <c r="D27" s="11" t="n"/>
      <c r="E27" s="27">
        <f>IF(D27="","",SUM($D$7:D27))</f>
        <v/>
      </c>
      <c r="F27" s="10" t="n"/>
    </row>
    <row r="28">
      <c r="B28" s="52" t="n"/>
      <c r="C28" s="10" t="n"/>
      <c r="D28" s="11" t="n"/>
      <c r="E28" s="53">
        <f>IF(D28="","",SUM($D$7:D28))</f>
        <v/>
      </c>
      <c r="F28" s="10" t="n"/>
    </row>
    <row r="29">
      <c r="B29" s="52" t="n"/>
      <c r="C29" s="10" t="n"/>
      <c r="D29" s="11" t="n"/>
      <c r="E29" s="27">
        <f>IF(D29="","",SUM($D$7:D29))</f>
        <v/>
      </c>
      <c r="F29" s="10" t="n"/>
    </row>
    <row r="30">
      <c r="B30" s="52" t="n"/>
      <c r="C30" s="10" t="n"/>
      <c r="D30" s="11" t="n"/>
      <c r="E30" s="53">
        <f>IF(D30="","",SUM($D$7:D30))</f>
        <v/>
      </c>
      <c r="F30" s="10" t="n"/>
    </row>
    <row r="31">
      <c r="B31" s="52" t="n"/>
      <c r="C31" s="10" t="n"/>
      <c r="D31" s="11" t="n"/>
      <c r="E31" s="27">
        <f>IF(D31="","",SUM($D$7:D31))</f>
        <v/>
      </c>
      <c r="F31" s="10" t="n"/>
    </row>
    <row r="32">
      <c r="B32" s="52" t="n"/>
      <c r="C32" s="10" t="n"/>
      <c r="D32" s="11" t="n"/>
      <c r="E32" s="53">
        <f>IF(D32="","",SUM($D$7:D32))</f>
        <v/>
      </c>
      <c r="F32" s="10" t="n"/>
    </row>
    <row r="33">
      <c r="B33" s="52" t="n"/>
      <c r="C33" s="10" t="n"/>
      <c r="D33" s="11" t="n"/>
      <c r="E33" s="27">
        <f>IF(D33="","",SUM($D$7:D33))</f>
        <v/>
      </c>
      <c r="F33" s="10" t="n"/>
    </row>
    <row r="34">
      <c r="B34" s="52" t="n"/>
      <c r="C34" s="10" t="n"/>
      <c r="D34" s="11" t="n"/>
      <c r="E34" s="53">
        <f>IF(D34="","",SUM($D$7:D34))</f>
        <v/>
      </c>
      <c r="F34" s="10" t="n"/>
    </row>
    <row r="35">
      <c r="B35" s="52" t="n"/>
      <c r="C35" s="10" t="n"/>
      <c r="D35" s="11" t="n"/>
      <c r="E35" s="27">
        <f>IF(D35="","",SUM($D$7:D35))</f>
        <v/>
      </c>
      <c r="F35" s="10" t="n"/>
    </row>
    <row r="36">
      <c r="B36" s="52" t="n"/>
      <c r="C36" s="10" t="n"/>
      <c r="D36" s="11" t="n"/>
      <c r="E36" s="53">
        <f>IF(D36="","",SUM($D$7:D36))</f>
        <v/>
      </c>
      <c r="F36" s="10" t="n"/>
    </row>
    <row r="37">
      <c r="B37" s="52" t="n"/>
      <c r="C37" s="10" t="n"/>
      <c r="D37" s="11" t="n"/>
      <c r="E37" s="27">
        <f>IF(D37="","",SUM($D$7:D37))</f>
        <v/>
      </c>
      <c r="F37" s="10" t="n"/>
    </row>
    <row r="38">
      <c r="B38" s="52" t="n"/>
      <c r="C38" s="10" t="n"/>
      <c r="D38" s="11" t="n"/>
      <c r="E38" s="53">
        <f>IF(D38="","",SUM($D$7:D38))</f>
        <v/>
      </c>
      <c r="F38" s="10" t="n"/>
    </row>
    <row r="39">
      <c r="B39" s="52" t="n"/>
      <c r="C39" s="10" t="n"/>
      <c r="D39" s="11" t="n"/>
      <c r="E39" s="27">
        <f>IF(D39="","",SUM($D$7:D39))</f>
        <v/>
      </c>
      <c r="F39" s="10" t="n"/>
    </row>
    <row r="40">
      <c r="B40" s="52" t="n"/>
      <c r="C40" s="10" t="n"/>
      <c r="D40" s="11" t="n"/>
      <c r="E40" s="53">
        <f>IF(D40="","",SUM($D$7:D40))</f>
        <v/>
      </c>
      <c r="F40" s="10" t="n"/>
    </row>
    <row r="41">
      <c r="B41" s="52" t="n"/>
      <c r="C41" s="10" t="n"/>
      <c r="D41" s="11" t="n"/>
      <c r="E41" s="27">
        <f>IF(D41="","",SUM($D$7:D41))</f>
        <v/>
      </c>
      <c r="F41" s="10" t="n"/>
    </row>
    <row r="42">
      <c r="B42" s="52" t="n"/>
      <c r="C42" s="10" t="n"/>
      <c r="D42" s="11" t="n"/>
      <c r="E42" s="53">
        <f>IF(D42="","",SUM($D$7:D42))</f>
        <v/>
      </c>
      <c r="F42" s="10" t="n"/>
    </row>
    <row r="43">
      <c r="B43" s="52" t="n"/>
      <c r="C43" s="10" t="n"/>
      <c r="D43" s="11" t="n"/>
      <c r="E43" s="27">
        <f>IF(D43="","",SUM($D$7:D43))</f>
        <v/>
      </c>
      <c r="F43" s="10" t="n"/>
    </row>
    <row r="44">
      <c r="B44" s="52" t="n"/>
      <c r="C44" s="10" t="n"/>
      <c r="D44" s="11" t="n"/>
      <c r="E44" s="53">
        <f>IF(D44="","",SUM($D$7:D44))</f>
        <v/>
      </c>
      <c r="F44" s="10" t="n"/>
    </row>
    <row r="45">
      <c r="B45" s="52" t="n"/>
      <c r="C45" s="10" t="n"/>
      <c r="D45" s="11" t="n"/>
      <c r="E45" s="27">
        <f>IF(D45="","",SUM($D$7:D45))</f>
        <v/>
      </c>
      <c r="F45" s="10" t="n"/>
    </row>
    <row r="46">
      <c r="B46" s="52" t="n"/>
      <c r="C46" s="10" t="n"/>
      <c r="D46" s="11" t="n"/>
      <c r="E46" s="53">
        <f>IF(D46="","",SUM($D$7:D46))</f>
        <v/>
      </c>
      <c r="F46" s="10" t="n"/>
    </row>
    <row r="47">
      <c r="B47" s="52" t="n"/>
      <c r="C47" s="10" t="n"/>
      <c r="D47" s="11" t="n"/>
      <c r="E47" s="27">
        <f>IF(D47="","",SUM($D$7:D47))</f>
        <v/>
      </c>
      <c r="F47" s="10" t="n"/>
    </row>
    <row r="48">
      <c r="B48" s="52" t="n"/>
      <c r="C48" s="10" t="n"/>
      <c r="D48" s="11" t="n"/>
      <c r="E48" s="53">
        <f>IF(D48="","",SUM($D$7:D48))</f>
        <v/>
      </c>
      <c r="F48" s="10" t="n"/>
    </row>
    <row r="49">
      <c r="B49" s="52" t="n"/>
      <c r="C49" s="10" t="n"/>
      <c r="D49" s="11" t="n"/>
      <c r="E49" s="27">
        <f>IF(D49="","",SUM($D$7:D49))</f>
        <v/>
      </c>
      <c r="F49" s="10" t="n"/>
    </row>
    <row r="50">
      <c r="B50" s="52" t="n"/>
      <c r="C50" s="10" t="n"/>
      <c r="D50" s="11" t="n"/>
      <c r="E50" s="53">
        <f>IF(D50="","",SUM($D$7:D50))</f>
        <v/>
      </c>
      <c r="F50" s="10" t="n"/>
    </row>
    <row r="51">
      <c r="B51" s="52" t="n"/>
      <c r="C51" s="10" t="n"/>
      <c r="D51" s="11" t="n"/>
      <c r="E51" s="27">
        <f>IF(D51="","",SUM($D$7:D51))</f>
        <v/>
      </c>
      <c r="F51" s="10" t="n"/>
    </row>
    <row r="52">
      <c r="B52" s="52" t="n"/>
      <c r="C52" s="10" t="n"/>
      <c r="D52" s="11" t="n"/>
      <c r="E52" s="53">
        <f>IF(D52="","",SUM($D$7:D52))</f>
        <v/>
      </c>
      <c r="F52" s="10" t="n"/>
    </row>
    <row r="53">
      <c r="B53" s="52" t="n"/>
      <c r="C53" s="10" t="n"/>
      <c r="D53" s="11" t="n"/>
      <c r="E53" s="27">
        <f>IF(D53="","",SUM($D$7:D53))</f>
        <v/>
      </c>
      <c r="F53" s="10" t="n"/>
    </row>
    <row r="54">
      <c r="B54" s="52" t="n"/>
      <c r="C54" s="10" t="n"/>
      <c r="D54" s="11" t="n"/>
      <c r="E54" s="53">
        <f>IF(D54="","",SUM($D$7:D54))</f>
        <v/>
      </c>
      <c r="F54" s="10" t="n"/>
    </row>
    <row r="55">
      <c r="B55" s="52" t="n"/>
      <c r="C55" s="10" t="n"/>
      <c r="D55" s="11" t="n"/>
      <c r="E55" s="27">
        <f>IF(D55="","",SUM($D$7:D55))</f>
        <v/>
      </c>
      <c r="F55" s="10" t="n"/>
    </row>
    <row r="56">
      <c r="B56" s="52" t="n"/>
      <c r="C56" s="10" t="n"/>
      <c r="D56" s="11" t="n"/>
      <c r="E56" s="53">
        <f>IF(D56="","",SUM($D$7:D56))</f>
        <v/>
      </c>
      <c r="F56" s="10" t="n"/>
    </row>
    <row r="57">
      <c r="B57" s="52" t="n"/>
      <c r="C57" s="10" t="n"/>
      <c r="D57" s="11" t="n"/>
      <c r="E57" s="27">
        <f>IF(D57="","",SUM($D$7:D57))</f>
        <v/>
      </c>
      <c r="F57" s="10" t="n"/>
    </row>
    <row r="58">
      <c r="B58" s="52" t="n"/>
      <c r="C58" s="10" t="n"/>
      <c r="D58" s="11" t="n"/>
      <c r="E58" s="53">
        <f>IF(D58="","",SUM($D$7:D58))</f>
        <v/>
      </c>
      <c r="F58" s="10" t="n"/>
    </row>
    <row r="59">
      <c r="B59" s="52" t="n"/>
      <c r="C59" s="10" t="n"/>
      <c r="D59" s="11" t="n"/>
      <c r="E59" s="27">
        <f>IF(D59="","",SUM($D$7:D59))</f>
        <v/>
      </c>
      <c r="F59" s="10" t="n"/>
    </row>
    <row r="60">
      <c r="B60" s="52" t="n"/>
      <c r="C60" s="10" t="n"/>
      <c r="D60" s="11" t="n"/>
      <c r="E60" s="53">
        <f>IF(D60="","",SUM($D$7:D60))</f>
        <v/>
      </c>
      <c r="F60" s="10" t="n"/>
    </row>
    <row r="61">
      <c r="B61" s="52" t="n"/>
      <c r="C61" s="10" t="n"/>
      <c r="D61" s="11" t="n"/>
      <c r="E61" s="27">
        <f>IF(D61="","",SUM($D$7:D61))</f>
        <v/>
      </c>
      <c r="F61" s="10" t="n"/>
    </row>
    <row r="62">
      <c r="B62" s="52" t="n"/>
      <c r="C62" s="10" t="n"/>
      <c r="D62" s="11" t="n"/>
      <c r="E62" s="53">
        <f>IF(D62="","",SUM($D$7:D62))</f>
        <v/>
      </c>
      <c r="F62" s="10" t="n"/>
    </row>
    <row r="63">
      <c r="B63" s="52" t="n"/>
      <c r="C63" s="10" t="n"/>
      <c r="D63" s="11" t="n"/>
      <c r="E63" s="27">
        <f>IF(D63="","",SUM($D$7:D63))</f>
        <v/>
      </c>
      <c r="F63" s="10" t="n"/>
    </row>
    <row r="64">
      <c r="B64" s="52" t="n"/>
      <c r="C64" s="10" t="n"/>
      <c r="D64" s="11" t="n"/>
      <c r="E64" s="53">
        <f>IF(D64="","",SUM($D$7:D64))</f>
        <v/>
      </c>
      <c r="F64" s="10" t="n"/>
    </row>
    <row r="65">
      <c r="B65" s="52" t="n"/>
      <c r="C65" s="10" t="n"/>
      <c r="D65" s="11" t="n"/>
      <c r="E65" s="27">
        <f>IF(D65="","",SUM($D$7:D65))</f>
        <v/>
      </c>
      <c r="F65" s="10" t="n"/>
    </row>
    <row r="66">
      <c r="B66" s="52" t="n"/>
      <c r="C66" s="10" t="n"/>
      <c r="D66" s="11" t="n"/>
      <c r="E66" s="53">
        <f>IF(D66="","",SUM($D$7:D66))</f>
        <v/>
      </c>
      <c r="F66" s="10" t="n"/>
    </row>
    <row r="67">
      <c r="B67" s="52" t="n"/>
      <c r="C67" s="10" t="n"/>
      <c r="D67" s="11" t="n"/>
      <c r="E67" s="27">
        <f>IF(D67="","",SUM($D$7:D67))</f>
        <v/>
      </c>
      <c r="F67" s="10" t="n"/>
    </row>
    <row r="68">
      <c r="B68" s="52" t="n"/>
      <c r="C68" s="10" t="n"/>
      <c r="D68" s="11" t="n"/>
      <c r="E68" s="53">
        <f>IF(D68="","",SUM($D$7:D68))</f>
        <v/>
      </c>
      <c r="F68" s="10" t="n"/>
    </row>
    <row r="69">
      <c r="B69" s="52" t="n"/>
      <c r="C69" s="10" t="n"/>
      <c r="D69" s="11" t="n"/>
      <c r="E69" s="27">
        <f>IF(D69="","",SUM($D$7:D69))</f>
        <v/>
      </c>
      <c r="F69" s="10" t="n"/>
    </row>
    <row r="70">
      <c r="B70" s="52" t="n"/>
      <c r="C70" s="10" t="n"/>
      <c r="D70" s="11" t="n"/>
      <c r="E70" s="53">
        <f>IF(D70="","",SUM($D$7:D70))</f>
        <v/>
      </c>
      <c r="F70" s="10" t="n"/>
    </row>
    <row r="71">
      <c r="B71" s="52" t="n"/>
      <c r="C71" s="10" t="n"/>
      <c r="D71" s="11" t="n"/>
      <c r="E71" s="27">
        <f>IF(D71="","",SUM($D$7:D71))</f>
        <v/>
      </c>
      <c r="F71" s="10" t="n"/>
    </row>
    <row r="72">
      <c r="B72" s="52" t="n"/>
      <c r="C72" s="10" t="n"/>
      <c r="D72" s="11" t="n"/>
      <c r="E72" s="53">
        <f>IF(D72="","",SUM($D$7:D72))</f>
        <v/>
      </c>
      <c r="F72" s="10" t="n"/>
    </row>
    <row r="73">
      <c r="B73" s="52" t="n"/>
      <c r="C73" s="10" t="n"/>
      <c r="D73" s="11" t="n"/>
      <c r="E73" s="27">
        <f>IF(D73="","",SUM($D$7:D73))</f>
        <v/>
      </c>
      <c r="F73" s="10" t="n"/>
    </row>
    <row r="74">
      <c r="B74" s="52" t="n"/>
      <c r="C74" s="10" t="n"/>
      <c r="D74" s="11" t="n"/>
      <c r="E74" s="53">
        <f>IF(D74="","",SUM($D$7:D74))</f>
        <v/>
      </c>
      <c r="F74" s="10" t="n"/>
    </row>
    <row r="75">
      <c r="B75" s="52" t="n"/>
      <c r="C75" s="10" t="n"/>
      <c r="D75" s="11" t="n"/>
      <c r="E75" s="27">
        <f>IF(D75="","",SUM($D$7:D75))</f>
        <v/>
      </c>
      <c r="F75" s="10" t="n"/>
    </row>
    <row r="76">
      <c r="B76" s="52" t="n"/>
      <c r="C76" s="10" t="n"/>
      <c r="D76" s="11" t="n"/>
      <c r="E76" s="53">
        <f>IF(D76="","",SUM($D$7:D76))</f>
        <v/>
      </c>
      <c r="F76" s="10" t="n"/>
    </row>
    <row r="77">
      <c r="B77" s="52" t="n"/>
      <c r="C77" s="10" t="n"/>
      <c r="D77" s="11" t="n"/>
      <c r="E77" s="27">
        <f>IF(D77="","",SUM($D$7:D77))</f>
        <v/>
      </c>
      <c r="F77" s="10" t="n"/>
    </row>
    <row r="78">
      <c r="B78" s="52" t="n"/>
      <c r="C78" s="10" t="n"/>
      <c r="D78" s="11" t="n"/>
      <c r="E78" s="53">
        <f>IF(D78="","",SUM($D$7:D78))</f>
        <v/>
      </c>
      <c r="F78" s="10" t="n"/>
    </row>
    <row r="79">
      <c r="B79" s="52" t="n"/>
      <c r="C79" s="10" t="n"/>
      <c r="D79" s="11" t="n"/>
      <c r="E79" s="27">
        <f>IF(D79="","",SUM($D$7:D79))</f>
        <v/>
      </c>
      <c r="F79" s="10" t="n"/>
    </row>
    <row r="80">
      <c r="B80" s="52" t="n"/>
      <c r="C80" s="10" t="n"/>
      <c r="D80" s="11" t="n"/>
      <c r="E80" s="53">
        <f>IF(D80="","",SUM($D$7:D80))</f>
        <v/>
      </c>
      <c r="F80" s="10" t="n"/>
    </row>
    <row r="81">
      <c r="B81" s="52" t="n"/>
      <c r="C81" s="10" t="n"/>
      <c r="D81" s="11" t="n"/>
      <c r="E81" s="27">
        <f>IF(D81="","",SUM($D$7:D81))</f>
        <v/>
      </c>
      <c r="F81" s="10" t="n"/>
    </row>
    <row r="82">
      <c r="B82" s="52" t="n"/>
      <c r="C82" s="10" t="n"/>
      <c r="D82" s="11" t="n"/>
      <c r="E82" s="53">
        <f>IF(D82="","",SUM($D$7:D82))</f>
        <v/>
      </c>
      <c r="F82" s="10" t="n"/>
    </row>
    <row r="83">
      <c r="B83" s="52" t="n"/>
      <c r="C83" s="10" t="n"/>
      <c r="D83" s="11" t="n"/>
      <c r="E83" s="27">
        <f>IF(D83="","",SUM($D$7:D83))</f>
        <v/>
      </c>
      <c r="F83" s="10" t="n"/>
    </row>
    <row r="84">
      <c r="B84" s="52" t="n"/>
      <c r="C84" s="10" t="n"/>
      <c r="D84" s="11" t="n"/>
      <c r="E84" s="53">
        <f>IF(D84="","",SUM($D$7:D84))</f>
        <v/>
      </c>
      <c r="F84" s="10" t="n"/>
    </row>
    <row r="85">
      <c r="B85" s="52" t="n"/>
      <c r="C85" s="10" t="n"/>
      <c r="D85" s="11" t="n"/>
      <c r="E85" s="27">
        <f>IF(D85="","",SUM($D$7:D85))</f>
        <v/>
      </c>
      <c r="F85" s="10" t="n"/>
    </row>
    <row r="86">
      <c r="B86" s="52" t="n"/>
      <c r="C86" s="10" t="n"/>
      <c r="D86" s="11" t="n"/>
      <c r="E86" s="53">
        <f>IF(D86="","",SUM($D$7:D86))</f>
        <v/>
      </c>
      <c r="F86" s="10" t="n"/>
    </row>
    <row r="87">
      <c r="B87" s="52" t="n"/>
      <c r="C87" s="10" t="n"/>
      <c r="D87" s="11" t="n"/>
      <c r="E87" s="27">
        <f>IF(D87="","",SUM($D$7:D87))</f>
        <v/>
      </c>
      <c r="F87" s="10" t="n"/>
    </row>
    <row r="88">
      <c r="B88" s="52" t="n"/>
      <c r="C88" s="10" t="n"/>
      <c r="D88" s="11" t="n"/>
      <c r="E88" s="53">
        <f>IF(D88="","",SUM($D$7:D88))</f>
        <v/>
      </c>
      <c r="F88" s="10" t="n"/>
    </row>
    <row r="89">
      <c r="B89" s="52" t="n"/>
      <c r="C89" s="10" t="n"/>
      <c r="D89" s="11" t="n"/>
      <c r="E89" s="27">
        <f>IF(D89="","",SUM($D$7:D89))</f>
        <v/>
      </c>
      <c r="F89" s="10" t="n"/>
    </row>
    <row r="90">
      <c r="B90" s="52" t="n"/>
      <c r="C90" s="10" t="n"/>
      <c r="D90" s="11" t="n"/>
      <c r="E90" s="53">
        <f>IF(D90="","",SUM($D$7:D90))</f>
        <v/>
      </c>
      <c r="F90" s="10" t="n"/>
    </row>
    <row r="91">
      <c r="B91" s="52" t="n"/>
      <c r="C91" s="10" t="n"/>
      <c r="D91" s="11" t="n"/>
      <c r="E91" s="27">
        <f>IF(D91="","",SUM($D$7:D91))</f>
        <v/>
      </c>
      <c r="F91" s="10" t="n"/>
    </row>
    <row r="92">
      <c r="B92" s="52" t="n"/>
      <c r="C92" s="10" t="n"/>
      <c r="D92" s="11" t="n"/>
      <c r="E92" s="53">
        <f>IF(D92="","",SUM($D$7:D92))</f>
        <v/>
      </c>
      <c r="F92" s="10" t="n"/>
    </row>
    <row r="93">
      <c r="B93" s="52" t="n"/>
      <c r="C93" s="10" t="n"/>
      <c r="D93" s="11" t="n"/>
      <c r="E93" s="27">
        <f>IF(D93="","",SUM($D$7:D93))</f>
        <v/>
      </c>
      <c r="F93" s="10" t="n"/>
    </row>
    <row r="94">
      <c r="B94" s="52" t="n"/>
      <c r="C94" s="10" t="n"/>
      <c r="D94" s="11" t="n"/>
      <c r="E94" s="53">
        <f>IF(D94="","",SUM($D$7:D94))</f>
        <v/>
      </c>
      <c r="F94" s="10" t="n"/>
    </row>
    <row r="95">
      <c r="B95" s="52" t="n"/>
      <c r="C95" s="10" t="n"/>
      <c r="D95" s="11" t="n"/>
      <c r="E95" s="27">
        <f>IF(D95="","",SUM($D$7:D95))</f>
        <v/>
      </c>
      <c r="F95" s="10" t="n"/>
    </row>
    <row r="96">
      <c r="B96" s="52" t="n"/>
      <c r="C96" s="10" t="n"/>
      <c r="D96" s="11" t="n"/>
      <c r="E96" s="53">
        <f>IF(D96="","",SUM($D$7:D96))</f>
        <v/>
      </c>
      <c r="F96" s="10" t="n"/>
    </row>
    <row r="97">
      <c r="B97" s="52" t="n"/>
      <c r="C97" s="10" t="n"/>
      <c r="D97" s="11" t="n"/>
      <c r="E97" s="27">
        <f>IF(D97="","",SUM($D$7:D97))</f>
        <v/>
      </c>
      <c r="F97" s="10" t="n"/>
    </row>
    <row r="98">
      <c r="B98" s="52" t="n"/>
      <c r="C98" s="10" t="n"/>
      <c r="D98" s="11" t="n"/>
      <c r="E98" s="53">
        <f>IF(D98="","",SUM($D$7:D98))</f>
        <v/>
      </c>
      <c r="F98" s="10" t="n"/>
    </row>
    <row r="99">
      <c r="B99" s="52" t="n"/>
      <c r="C99" s="10" t="n"/>
      <c r="D99" s="11" t="n"/>
      <c r="E99" s="27">
        <f>IF(D99="","",SUM($D$7:D99))</f>
        <v/>
      </c>
      <c r="F99" s="10" t="n"/>
    </row>
    <row r="100">
      <c r="B100" s="52" t="n"/>
      <c r="C100" s="10" t="n"/>
      <c r="D100" s="11" t="n"/>
      <c r="E100" s="53">
        <f>IF(D100="","",SUM($D$7:D100))</f>
        <v/>
      </c>
      <c r="F100" s="10" t="n"/>
    </row>
    <row r="101">
      <c r="B101" s="52" t="n"/>
      <c r="C101" s="10" t="n"/>
      <c r="D101" s="11" t="n"/>
      <c r="E101" s="27">
        <f>IF(D101="","",SUM($D$7:D101))</f>
        <v/>
      </c>
      <c r="F101" s="10" t="n"/>
    </row>
    <row r="102">
      <c r="B102" s="52" t="n"/>
      <c r="C102" s="10" t="n"/>
      <c r="D102" s="11" t="n"/>
      <c r="E102" s="53">
        <f>IF(D102="","",SUM($D$7:D102))</f>
        <v/>
      </c>
      <c r="F102" s="10" t="n"/>
    </row>
    <row r="103">
      <c r="B103" s="52" t="n"/>
      <c r="C103" s="10" t="n"/>
      <c r="D103" s="11" t="n"/>
      <c r="E103" s="27">
        <f>IF(D103="","",SUM($D$7:D103))</f>
        <v/>
      </c>
      <c r="F103" s="10" t="n"/>
    </row>
    <row r="104">
      <c r="B104" s="52" t="n"/>
      <c r="C104" s="10" t="n"/>
      <c r="D104" s="11" t="n"/>
      <c r="E104" s="53">
        <f>IF(D104="","",SUM($D$7:D104))</f>
        <v/>
      </c>
      <c r="F104" s="10" t="n"/>
    </row>
    <row r="105">
      <c r="B105" s="52" t="n"/>
      <c r="C105" s="10" t="n"/>
      <c r="D105" s="11" t="n"/>
      <c r="E105" s="27">
        <f>IF(D105="","",SUM($D$7:D105))</f>
        <v/>
      </c>
      <c r="F105" s="10" t="n"/>
    </row>
    <row r="106">
      <c r="B106" s="52" t="n"/>
      <c r="C106" s="10" t="n"/>
      <c r="D106" s="11" t="n"/>
      <c r="E106" s="53">
        <f>IF(D106="","",SUM($D$7:D106))</f>
        <v/>
      </c>
      <c r="F106" s="10" t="n"/>
    </row>
    <row r="107">
      <c r="B107" s="52" t="n"/>
      <c r="C107" s="10" t="n"/>
      <c r="D107" s="11" t="n"/>
      <c r="E107" s="27">
        <f>IF(D107="","",SUM($D$7:D107))</f>
        <v/>
      </c>
      <c r="F107" s="10" t="n"/>
    </row>
    <row r="108">
      <c r="B108" s="52" t="n"/>
      <c r="C108" s="10" t="n"/>
      <c r="D108" s="11" t="n"/>
      <c r="E108" s="53">
        <f>IF(D108="","",SUM($D$7:D108))</f>
        <v/>
      </c>
      <c r="F108" s="10" t="n"/>
    </row>
    <row r="109">
      <c r="B109" s="52" t="n"/>
      <c r="C109" s="10" t="n"/>
      <c r="D109" s="11" t="n"/>
      <c r="E109" s="27">
        <f>IF(D109="","",SUM($D$7:D109))</f>
        <v/>
      </c>
      <c r="F109" s="10" t="n"/>
    </row>
    <row r="110">
      <c r="B110" s="52" t="n"/>
      <c r="C110" s="10" t="n"/>
      <c r="D110" s="11" t="n"/>
      <c r="E110" s="53">
        <f>IF(D110="","",SUM($D$7:D110))</f>
        <v/>
      </c>
      <c r="F110" s="10" t="n"/>
    </row>
    <row r="111">
      <c r="B111" s="52" t="n"/>
      <c r="C111" s="10" t="n"/>
      <c r="D111" s="11" t="n"/>
      <c r="E111" s="27">
        <f>IF(D111="","",SUM($D$7:D111))</f>
        <v/>
      </c>
      <c r="F111" s="10" t="n"/>
    </row>
    <row r="112">
      <c r="B112" s="52" t="n"/>
      <c r="C112" s="10" t="n"/>
      <c r="D112" s="11" t="n"/>
      <c r="E112" s="53">
        <f>IF(D112="","",SUM($D$7:D112))</f>
        <v/>
      </c>
      <c r="F112" s="10" t="n"/>
    </row>
    <row r="113">
      <c r="B113" s="52" t="n"/>
      <c r="C113" s="10" t="n"/>
      <c r="D113" s="11" t="n"/>
      <c r="E113" s="27">
        <f>IF(D113="","",SUM($D$7:D113))</f>
        <v/>
      </c>
      <c r="F113" s="10" t="n"/>
    </row>
    <row r="114">
      <c r="B114" s="52" t="n"/>
      <c r="C114" s="10" t="n"/>
      <c r="D114" s="11" t="n"/>
      <c r="E114" s="53">
        <f>IF(D114="","",SUM($D$7:D114))</f>
        <v/>
      </c>
      <c r="F114" s="10" t="n"/>
    </row>
    <row r="115">
      <c r="B115" s="52" t="n"/>
      <c r="C115" s="10" t="n"/>
      <c r="D115" s="11" t="n"/>
      <c r="E115" s="27">
        <f>IF(D115="","",SUM($D$7:D115))</f>
        <v/>
      </c>
      <c r="F115" s="10" t="n"/>
    </row>
    <row r="116">
      <c r="B116" s="52" t="n"/>
      <c r="C116" s="10" t="n"/>
      <c r="D116" s="11" t="n"/>
      <c r="E116" s="53">
        <f>IF(D116="","",SUM($D$7:D116))</f>
        <v/>
      </c>
      <c r="F116" s="10" t="n"/>
    </row>
    <row r="117">
      <c r="B117" s="52" t="n"/>
      <c r="C117" s="10" t="n"/>
      <c r="D117" s="11" t="n"/>
      <c r="E117" s="27">
        <f>IF(D117="","",SUM($D$7:D117))</f>
        <v/>
      </c>
      <c r="F117" s="10" t="n"/>
    </row>
    <row r="118">
      <c r="B118" s="52" t="n"/>
      <c r="C118" s="10" t="n"/>
      <c r="D118" s="11" t="n"/>
      <c r="E118" s="53">
        <f>IF(D118="","",SUM($D$7:D118))</f>
        <v/>
      </c>
      <c r="F118" s="10" t="n"/>
    </row>
    <row r="119">
      <c r="B119" s="52" t="n"/>
      <c r="C119" s="10" t="n"/>
      <c r="D119" s="11" t="n"/>
      <c r="E119" s="27">
        <f>IF(D119="","",SUM($D$7:D119))</f>
        <v/>
      </c>
      <c r="F119" s="10" t="n"/>
    </row>
    <row r="120">
      <c r="B120" s="52" t="n"/>
      <c r="C120" s="10" t="n"/>
      <c r="D120" s="11" t="n"/>
      <c r="E120" s="53">
        <f>IF(D120="","",SUM($D$7:D120))</f>
        <v/>
      </c>
      <c r="F120" s="10" t="n"/>
    </row>
    <row r="121">
      <c r="B121" s="52" t="n"/>
      <c r="C121" s="10" t="n"/>
      <c r="D121" s="11" t="n"/>
      <c r="E121" s="27">
        <f>IF(D121="","",SUM($D$7:D121))</f>
        <v/>
      </c>
      <c r="F121" s="10" t="n"/>
    </row>
    <row r="122">
      <c r="B122" s="52" t="n"/>
      <c r="C122" s="10" t="n"/>
      <c r="D122" s="11" t="n"/>
      <c r="E122" s="53">
        <f>IF(D122="","",SUM($D$7:D122))</f>
        <v/>
      </c>
      <c r="F122" s="10" t="n"/>
    </row>
    <row r="123">
      <c r="B123" s="52" t="n"/>
      <c r="C123" s="10" t="n"/>
      <c r="D123" s="11" t="n"/>
      <c r="E123" s="27">
        <f>IF(D123="","",SUM($D$7:D123))</f>
        <v/>
      </c>
      <c r="F123" s="10" t="n"/>
    </row>
    <row r="124">
      <c r="B124" s="52" t="n"/>
      <c r="C124" s="10" t="n"/>
      <c r="D124" s="11" t="n"/>
      <c r="E124" s="53">
        <f>IF(D124="","",SUM($D$7:D124))</f>
        <v/>
      </c>
      <c r="F124" s="10" t="n"/>
    </row>
    <row r="125">
      <c r="B125" s="52" t="n"/>
      <c r="C125" s="10" t="n"/>
      <c r="D125" s="11" t="n"/>
      <c r="E125" s="27">
        <f>IF(D125="","",SUM($D$7:D125))</f>
        <v/>
      </c>
      <c r="F125" s="10" t="n"/>
    </row>
    <row r="126">
      <c r="B126" s="52" t="n"/>
      <c r="C126" s="10" t="n"/>
      <c r="D126" s="11" t="n"/>
      <c r="E126" s="53">
        <f>IF(D126="","",SUM($D$7:D126))</f>
        <v/>
      </c>
      <c r="F126" s="10" t="n"/>
    </row>
  </sheetData>
  <dataValidations count="1">
    <dataValidation sqref="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showDropDown="0" showInputMessage="0" showErrorMessage="0" allowBlank="1" type="list">
      <formula1>=Plan!$B$8:$B$13</formula1>
    </dataValidation>
  </dataValidations>
  <pageMargins left="0.75" right="0.75" top="1" bottom="1" header="0.5" footer="0.5"/>
</worksheet>
</file>

<file path=xl/worksheets/sheet5.xml><?xml version="1.0" encoding="utf-8"?>
<worksheet xmlns="http://schemas.openxmlformats.org/spreadsheetml/2006/main">
  <sheetPr>
    <tabColor rgb="001A1030"/>
    <outlinePr summaryBelow="1" summaryRight="1"/>
    <pageSetUpPr/>
  </sheetPr>
  <dimension ref="A1:H26"/>
  <sheetViews>
    <sheetView showGridLines="0" workbookViewId="0">
      <selection activeCell="A1" sqref="A1"/>
    </sheetView>
  </sheetViews>
  <sheetFormatPr baseColWidth="8" defaultRowHeight="15"/>
  <cols>
    <col width="2" customWidth="1" min="1" max="1"/>
    <col width="6" customWidth="1" min="2" max="2"/>
    <col width="90" customWidth="1" min="3" max="3"/>
  </cols>
  <sheetData>
    <row r="1" ht="10" customHeight="1">
      <c r="A1" s="1" t="n"/>
      <c r="B1" s="1" t="n"/>
      <c r="C1" s="1" t="n"/>
      <c r="D1" s="1" t="n"/>
      <c r="E1" s="1" t="n"/>
      <c r="F1" s="1" t="n"/>
      <c r="G1" s="1" t="n"/>
      <c r="H1" s="1" t="n"/>
    </row>
    <row r="2" ht="16" customHeight="1">
      <c r="A2" s="1" t="n"/>
      <c r="B2" s="2" t="inlineStr">
        <is>
          <t>[ DEBTLESS ]  START HERE</t>
        </is>
      </c>
      <c r="C2" s="1" t="n"/>
      <c r="D2" s="1" t="n"/>
      <c r="E2" s="1" t="n"/>
      <c r="F2" s="1" t="n"/>
      <c r="G2" s="1" t="n"/>
      <c r="H2" s="1" t="n"/>
    </row>
    <row r="3" ht="34" customHeight="1">
      <c r="A3" s="1" t="n"/>
      <c r="B3" s="3" t="inlineStr">
        <is>
          <t>Two minutes to set up.</t>
        </is>
      </c>
      <c r="C3" s="1" t="n"/>
      <c r="D3" s="1" t="n"/>
      <c r="E3" s="1" t="n"/>
      <c r="F3" s="1" t="n"/>
      <c r="G3" s="1" t="n"/>
      <c r="H3" s="1" t="n"/>
    </row>
    <row r="4" ht="20" customHeight="1">
      <c r="A4" s="1" t="n"/>
      <c r="B4" s="4" t="inlineStr">
        <is>
          <t>Then one check-in a month.</t>
        </is>
      </c>
      <c r="C4" s="1" t="n"/>
      <c r="D4" s="1" t="n"/>
      <c r="E4" s="1" t="n"/>
      <c r="F4" s="1" t="n"/>
      <c r="G4" s="1" t="n"/>
      <c r="H4" s="1" t="n"/>
    </row>
    <row r="6">
      <c r="B6" s="54" t="inlineStr">
        <is>
          <t>[ 01 ]</t>
        </is>
      </c>
      <c r="C6" s="55" t="inlineStr">
        <is>
          <t>Open it</t>
        </is>
      </c>
    </row>
    <row r="7" ht="30" customHeight="1">
      <c r="C7" s="56" t="inlineStr">
        <is>
          <t>Excel: double-click. Google Sheets: drag the file into Drive and open with Sheets, or File → Import. Numbers and LibreOffice work too.</t>
        </is>
      </c>
    </row>
    <row r="9">
      <c r="B9" s="54" t="inlineStr">
        <is>
          <t>[ 02 ]</t>
        </is>
      </c>
      <c r="C9" s="55" t="inlineStr">
        <is>
          <t>Replace the example debts</t>
        </is>
      </c>
    </row>
    <row r="10" ht="30" customHeight="1">
      <c r="C10" s="56" t="inlineStr">
        <is>
          <t>Plan sheet, lavender cells: name, balance, APR and minimum for each debt. Leave unused rows blank.</t>
        </is>
      </c>
    </row>
    <row r="12">
      <c r="B12" s="54" t="inlineStr">
        <is>
          <t>[ 03 ]</t>
        </is>
      </c>
      <c r="C12" s="55" t="inlineStr">
        <is>
          <t>Enter your extra</t>
        </is>
      </c>
    </row>
    <row r="13" ht="30" customHeight="1">
      <c r="C13" s="56" t="inlineStr">
        <is>
          <t>The amount you can pay each month above every minimum. Your monthly budget appears below it and never changes until you're done.</t>
        </is>
      </c>
    </row>
    <row r="15">
      <c r="B15" s="54" t="inlineStr">
        <is>
          <t>[ 04 ]</t>
        </is>
      </c>
      <c r="C15" s="55" t="inlineStr">
        <is>
          <t>Read your plan</t>
        </is>
      </c>
    </row>
    <row r="16" ht="30" customHeight="1">
      <c r="C16" s="56" t="inlineStr">
        <is>
          <t>The tiles on the right show your debt-free month, total interest and what you avoid versus minimums. The chart shows both roads.</t>
        </is>
      </c>
    </row>
    <row r="18">
      <c r="B18" s="54" t="inlineStr">
        <is>
          <t>[ 05 ]</t>
        </is>
      </c>
      <c r="C18" s="55" t="inlineStr">
        <is>
          <t>Follow the Schedule</t>
        </is>
      </c>
    </row>
    <row r="19" ht="30" customHeight="1">
      <c r="C19" s="56" t="inlineStr">
        <is>
          <t>Each row is a month. Lavender cells are the focus payment: the debt that gets the extra and every freed-up minimum.</t>
        </is>
      </c>
    </row>
    <row r="21">
      <c r="B21" s="54" t="inlineStr">
        <is>
          <t>[ 06 ]</t>
        </is>
      </c>
      <c r="C21" s="55" t="inlineStr">
        <is>
          <t>Check in monthly</t>
        </is>
      </c>
    </row>
    <row r="22" ht="30" customHeight="1">
      <c r="C22" s="56" t="inlineStr">
        <is>
          <t>Log each payment on the Payment log sheet, then overwrite the balances on Plan from your statements. The plan re-plans from there.</t>
        </is>
      </c>
    </row>
    <row r="25">
      <c r="C25" s="57" t="inlineStr">
        <is>
          <t>Want this without the typing? The Debtless app builds the same plan in about two minutes and moves your debt-free date as you pay.</t>
        </is>
      </c>
    </row>
    <row r="26">
      <c r="C26" s="58" t="inlineStr">
        <is>
          <t>https://www.debtless.app</t>
        </is>
      </c>
    </row>
  </sheetData>
  <hyperlinks>
    <hyperlink xmlns:r="http://schemas.openxmlformats.org/officeDocument/2006/relationships" ref="C26"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2026-09-14T22:05:40Z</dcterms:created>
  <dcterms:modified xsi:type="dcterms:W3CDTF">2026-09-14T22:05:41Z</dcterms:modified>
</cp:coreProperties>
</file>